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mcgra\Documents\30. New 2022 TAMU Beef DecisionAids 7-5-2022\WWW d Update 7-5-2022\"/>
    </mc:Choice>
  </mc:AlternateContent>
  <xr:revisionPtr revIDLastSave="0" documentId="13_ncr:1_{67D40CA3-906E-44BF-AA6A-42C3D2699F78}" xr6:coauthVersionLast="47" xr6:coauthVersionMax="47" xr10:uidLastSave="{00000000-0000-0000-0000-000000000000}"/>
  <bookViews>
    <workbookView xWindow="-103" yWindow="-103" windowWidth="16663" windowHeight="8863" tabRatio="902" xr2:uid="{00000000-000D-0000-FFFF-FFFF00000000}"/>
  </bookViews>
  <sheets>
    <sheet name="1.Custom Finish Financial Data" sheetId="10" r:id="rId1"/>
    <sheet name="2. Finished Cattle Close Out" sheetId="7" r:id="rId2"/>
    <sheet name="3. Graphs" sheetId="11" r:id="rId3"/>
    <sheet name="4.Closeout Summary" sheetId="8" r:id="rId4"/>
    <sheet name="5. FinishedCattleBenchmarks" sheetId="9" r:id="rId5"/>
    <sheet name="6. Definitions " sheetId="12" r:id="rId6"/>
    <sheet name="7. Notes " sheetId="13" r:id="rId7"/>
  </sheets>
  <definedNames>
    <definedName name="_xlnm.Print_Area" localSheetId="0">'1.Custom Finish Financial Data'!$B$1:$F$55</definedName>
    <definedName name="_xlnm.Print_Area" localSheetId="1">'2. Finished Cattle Close Out'!$B$1:$G$65</definedName>
    <definedName name="_xlnm.Print_Area" localSheetId="2">'3. Graphs'!$B$1:$G$50</definedName>
    <definedName name="_xlnm.Print_Area" localSheetId="3">'4.Closeout Summary'!$B$1:$E$65</definedName>
    <definedName name="_xlnm.Print_Area" localSheetId="4">'5. FinishedCattleBenchmarks'!$B$2:$E$56</definedName>
    <definedName name="_xlnm.Print_Area" localSheetId="5">'6. Definitions '!$B$1:$B$13</definedName>
    <definedName name="_xlnm.Print_Area" localSheetId="6">'7. Notes '!$B$2:$B$22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3" i="8" l="1"/>
  <c r="C33" i="8" s="1"/>
  <c r="L42" i="7"/>
  <c r="L43" i="7" s="1"/>
  <c r="F51" i="7" s="1"/>
  <c r="D33" i="8" s="1"/>
  <c r="F50" i="7"/>
  <c r="C7" i="7"/>
  <c r="C56" i="9"/>
  <c r="D54" i="9" s="1"/>
  <c r="C45" i="9"/>
  <c r="D43" i="9" s="1"/>
  <c r="C49" i="9" l="1"/>
  <c r="D55" i="9"/>
  <c r="D51" i="9"/>
  <c r="D45" i="9"/>
  <c r="D53" i="9"/>
  <c r="D44" i="9"/>
  <c r="D52" i="9"/>
  <c r="D42" i="9"/>
  <c r="D46" i="9"/>
  <c r="D47" i="9" l="1"/>
  <c r="D48" i="9"/>
  <c r="C26" i="10"/>
  <c r="C38" i="10"/>
  <c r="F34" i="7" l="1"/>
  <c r="F33" i="7"/>
  <c r="B35" i="7"/>
  <c r="B34" i="7"/>
  <c r="B33" i="7"/>
  <c r="F34" i="10"/>
  <c r="E41" i="10" l="1"/>
  <c r="E29" i="10" l="1"/>
  <c r="E22" i="10"/>
  <c r="B27" i="7" l="1"/>
  <c r="H24" i="11" s="1"/>
  <c r="B47" i="7"/>
  <c r="C39" i="9"/>
  <c r="C38" i="9"/>
  <c r="C36" i="9"/>
  <c r="C34" i="9"/>
  <c r="C47" i="10"/>
  <c r="E13" i="10"/>
  <c r="C33" i="9" l="1"/>
  <c r="C32" i="9"/>
  <c r="E14" i="10" l="1"/>
  <c r="C31" i="9"/>
  <c r="F32" i="10" l="1"/>
  <c r="E32" i="10" s="1"/>
  <c r="F44" i="7" l="1"/>
  <c r="F39" i="10" l="1"/>
  <c r="B8" i="8" l="1"/>
  <c r="F14" i="7"/>
  <c r="F16" i="7"/>
  <c r="F12" i="7"/>
  <c r="D12" i="7"/>
  <c r="F5" i="7" l="1"/>
  <c r="F4" i="7"/>
  <c r="F3" i="7"/>
  <c r="C6" i="7"/>
  <c r="C5" i="7"/>
  <c r="C4" i="7"/>
  <c r="F8" i="7"/>
  <c r="C2" i="10"/>
  <c r="D34" i="7" l="1"/>
  <c r="E34" i="7" s="1"/>
  <c r="D33" i="7"/>
  <c r="E33" i="7" s="1"/>
  <c r="H34" i="7"/>
  <c r="H33" i="7"/>
  <c r="H44" i="7"/>
  <c r="H18" i="7"/>
  <c r="F15" i="7"/>
  <c r="C8" i="9" s="1"/>
  <c r="F62" i="7"/>
  <c r="D15" i="7"/>
  <c r="C13" i="8"/>
  <c r="H38" i="11" l="1"/>
  <c r="H23" i="11"/>
  <c r="F22" i="7" l="1"/>
  <c r="F39" i="7" l="1"/>
  <c r="F35" i="7"/>
  <c r="B32" i="7" l="1"/>
  <c r="B31" i="7"/>
  <c r="F32" i="7"/>
  <c r="F31" i="7"/>
  <c r="D16" i="7" l="1"/>
  <c r="D14" i="7"/>
  <c r="D9" i="8" s="1"/>
  <c r="D9" i="7"/>
  <c r="D11" i="7"/>
  <c r="F11" i="7" s="1"/>
  <c r="C15" i="10"/>
  <c r="L16" i="10"/>
  <c r="E43" i="10"/>
  <c r="F27" i="7"/>
  <c r="C44" i="10"/>
  <c r="C3" i="7"/>
  <c r="E3" i="8" s="1"/>
  <c r="C4" i="9" s="1"/>
  <c r="D8" i="7"/>
  <c r="D10" i="8"/>
  <c r="F30" i="7"/>
  <c r="H30" i="7" s="1"/>
  <c r="C3" i="8"/>
  <c r="C10" i="9"/>
  <c r="D44" i="8"/>
  <c r="D42" i="8"/>
  <c r="C11" i="8"/>
  <c r="C10" i="8"/>
  <c r="C8" i="8"/>
  <c r="C7" i="8"/>
  <c r="C4" i="8"/>
  <c r="D2" i="7"/>
  <c r="C2" i="8" s="1"/>
  <c r="C9" i="8" l="1"/>
  <c r="H11" i="7"/>
  <c r="L32" i="7" s="1"/>
  <c r="E15" i="10"/>
  <c r="C19" i="10"/>
  <c r="D19" i="7"/>
  <c r="C15" i="9" s="1"/>
  <c r="C16" i="10"/>
  <c r="F9" i="7"/>
  <c r="H32" i="7"/>
  <c r="H31" i="7"/>
  <c r="H39" i="7"/>
  <c r="H35" i="7"/>
  <c r="H27" i="7"/>
  <c r="C5" i="8"/>
  <c r="D39" i="7"/>
  <c r="E39" i="7" s="1"/>
  <c r="D35" i="7"/>
  <c r="E35" i="7" s="1"/>
  <c r="F36" i="7"/>
  <c r="H36" i="7" s="1"/>
  <c r="D18" i="7"/>
  <c r="N59" i="7"/>
  <c r="D41" i="8"/>
  <c r="C6" i="9"/>
  <c r="E44" i="7"/>
  <c r="P14" i="11"/>
  <c r="E27" i="7"/>
  <c r="D32" i="7"/>
  <c r="E32" i="7" s="1"/>
  <c r="E22" i="7"/>
  <c r="C5" i="9"/>
  <c r="C7" i="9"/>
  <c r="F24" i="7"/>
  <c r="D31" i="7"/>
  <c r="E31" i="7" s="1"/>
  <c r="G33" i="7" l="1"/>
  <c r="G34" i="7"/>
  <c r="D18" i="8"/>
  <c r="G32" i="7"/>
  <c r="G35" i="7"/>
  <c r="F18" i="7"/>
  <c r="D10" i="7"/>
  <c r="F10" i="7" s="1"/>
  <c r="D37" i="8" s="1"/>
  <c r="H30" i="10"/>
  <c r="L40" i="7"/>
  <c r="F6" i="9"/>
  <c r="D58" i="9" s="1"/>
  <c r="D13" i="8"/>
  <c r="C18" i="9" s="1"/>
  <c r="F61" i="7"/>
  <c r="J19" i="10"/>
  <c r="L19" i="10" s="1"/>
  <c r="L20" i="10" s="1"/>
  <c r="J20" i="10" s="1"/>
  <c r="F63" i="7"/>
  <c r="D58" i="7"/>
  <c r="D22" i="8" s="1"/>
  <c r="C22" i="9" s="1"/>
  <c r="G31" i="7"/>
  <c r="G44" i="7"/>
  <c r="G39" i="7"/>
  <c r="E11" i="10"/>
  <c r="D17" i="7"/>
  <c r="D20" i="8"/>
  <c r="G30" i="7"/>
  <c r="E30" i="7"/>
  <c r="D47" i="8"/>
  <c r="D64" i="7"/>
  <c r="D36" i="8"/>
  <c r="C11" i="9"/>
  <c r="N58" i="7"/>
  <c r="N60" i="7" s="1"/>
  <c r="D27" i="7"/>
  <c r="O8" i="11" s="1"/>
  <c r="N14" i="11" s="1"/>
  <c r="E24" i="7"/>
  <c r="F37" i="7"/>
  <c r="L37" i="7" s="1"/>
  <c r="F41" i="7"/>
  <c r="H41" i="7" s="1"/>
  <c r="F32" i="8" l="1"/>
  <c r="L31" i="7"/>
  <c r="I30" i="10"/>
  <c r="H32" i="10"/>
  <c r="I32" i="10" s="1"/>
  <c r="L17" i="10"/>
  <c r="D19" i="8"/>
  <c r="C21" i="9"/>
  <c r="F60" i="7"/>
  <c r="D60" i="7"/>
  <c r="C16" i="9"/>
  <c r="E13" i="8"/>
  <c r="F46" i="7"/>
  <c r="H46" i="7" s="1"/>
  <c r="E41" i="7"/>
  <c r="G37" i="7"/>
  <c r="N61" i="7"/>
  <c r="L41" i="7"/>
  <c r="D56" i="7"/>
  <c r="E64" i="7"/>
  <c r="C64" i="7" s="1"/>
  <c r="D16" i="8" s="1"/>
  <c r="D14" i="8"/>
  <c r="C19" i="9" s="1"/>
  <c r="C20" i="9" s="1"/>
  <c r="I41" i="7" l="1"/>
  <c r="I34" i="7"/>
  <c r="I33" i="7"/>
  <c r="I33" i="10"/>
  <c r="I43" i="10" s="1"/>
  <c r="J44" i="10" s="1"/>
  <c r="E44" i="10"/>
  <c r="C58" i="9"/>
  <c r="I31" i="7"/>
  <c r="I35" i="7"/>
  <c r="I30" i="7"/>
  <c r="I39" i="7"/>
  <c r="I46" i="7"/>
  <c r="I32" i="7"/>
  <c r="I27" i="7"/>
  <c r="I36" i="7"/>
  <c r="G46" i="7"/>
  <c r="F58" i="7" s="1"/>
  <c r="E46" i="7"/>
  <c r="D25" i="8" s="1"/>
  <c r="C23" i="9" s="1"/>
  <c r="F48" i="7"/>
  <c r="E48" i="7" s="1"/>
  <c r="C59" i="9" l="1"/>
  <c r="C60" i="9" s="1"/>
  <c r="H48" i="7"/>
  <c r="D32" i="8"/>
  <c r="C28" i="9" s="1"/>
  <c r="D43" i="8" l="1"/>
  <c r="D54" i="7"/>
  <c r="D55" i="7"/>
  <c r="D44" i="7"/>
  <c r="D41" i="7"/>
  <c r="O14" i="11" s="1"/>
  <c r="I27" i="9"/>
  <c r="C13" i="9"/>
  <c r="D46" i="7"/>
  <c r="D61" i="7"/>
  <c r="E29" i="8" s="1"/>
  <c r="C26" i="9" s="1"/>
  <c r="D22" i="7"/>
  <c r="D62" i="7"/>
  <c r="Q14" i="11" s="1"/>
  <c r="C12" i="9"/>
  <c r="E28" i="8"/>
  <c r="C25" i="9" s="1"/>
  <c r="D48" i="7"/>
  <c r="Q8" i="11" s="1"/>
  <c r="E25" i="8" l="1"/>
  <c r="P8" i="11"/>
  <c r="D24" i="7"/>
  <c r="E14" i="8" s="1"/>
  <c r="N8" i="11"/>
  <c r="E30" i="8"/>
  <c r="C27" i="9" s="1"/>
  <c r="C14" i="9"/>
  <c r="D38" i="8"/>
  <c r="D46" i="8"/>
  <c r="D13" i="7"/>
  <c r="D45" i="8"/>
  <c r="D30" i="7"/>
  <c r="S8" i="11" l="1"/>
  <c r="F13" i="7"/>
  <c r="D39" i="8"/>
  <c r="C6" i="8" l="1"/>
  <c r="D40" i="8" s="1"/>
  <c r="C9" i="9"/>
</calcChain>
</file>

<file path=xl/sharedStrings.xml><?xml version="1.0" encoding="utf-8"?>
<sst xmlns="http://schemas.openxmlformats.org/spreadsheetml/2006/main" count="416" uniqueCount="318">
  <si>
    <t>Date of Analysis</t>
  </si>
  <si>
    <t>$/Head</t>
  </si>
  <si>
    <t>$/Cwt.</t>
  </si>
  <si>
    <t>%</t>
  </si>
  <si>
    <t>Lb./Head</t>
  </si>
  <si>
    <t>Dol.</t>
  </si>
  <si>
    <t>Total</t>
  </si>
  <si>
    <t>Feed and Other</t>
  </si>
  <si>
    <t>Lb. Of Gain</t>
  </si>
  <si>
    <t>Cattle</t>
  </si>
  <si>
    <t>$/Hd. in</t>
  </si>
  <si>
    <t>Marketing Margin</t>
  </si>
  <si>
    <t>Feeding Margin</t>
  </si>
  <si>
    <t>Total Sales Based on Head Outs</t>
  </si>
  <si>
    <t>Total Gain Based on Head Outs</t>
  </si>
  <si>
    <t xml:space="preserve">Financial Cost of Gain Including Net Margin $/Cwt. </t>
  </si>
  <si>
    <t>Lot Number</t>
  </si>
  <si>
    <t>Breed</t>
  </si>
  <si>
    <t>Source of Cattle</t>
  </si>
  <si>
    <t>Sex</t>
  </si>
  <si>
    <t>Date Marketed</t>
  </si>
  <si>
    <t>Buyer</t>
  </si>
  <si>
    <t>Death Loss</t>
  </si>
  <si>
    <t>Death &amp; Culling Loss</t>
  </si>
  <si>
    <t>Shrink % on Sales</t>
  </si>
  <si>
    <t>Price Roll Back</t>
  </si>
  <si>
    <t>Value of Gain</t>
  </si>
  <si>
    <t>Head</t>
  </si>
  <si>
    <t>Lb.</t>
  </si>
  <si>
    <t>Days</t>
  </si>
  <si>
    <t xml:space="preserve">Percent Death &amp; Culling Loss </t>
  </si>
  <si>
    <t>Total Production Cost</t>
  </si>
  <si>
    <t xml:space="preserve">Total Cost of Net Payweight Gain </t>
  </si>
  <si>
    <t>Net Average Daily Gain</t>
  </si>
  <si>
    <t>Net Payweight  Per Head</t>
  </si>
  <si>
    <t>Lb./Hd</t>
  </si>
  <si>
    <t>Days/Head</t>
  </si>
  <si>
    <t>Prior Management</t>
  </si>
  <si>
    <t>Price Roll Back per Cwt.</t>
  </si>
  <si>
    <t>Price Out</t>
  </si>
  <si>
    <t>Cost In</t>
  </si>
  <si>
    <t>Futures/Options (+/-)</t>
  </si>
  <si>
    <t>$/Head Out</t>
  </si>
  <si>
    <t>Lb./Day</t>
  </si>
  <si>
    <t>Non-feed Cost  of Gain</t>
  </si>
  <si>
    <t>Weight</t>
  </si>
  <si>
    <t>Head In</t>
  </si>
  <si>
    <t>Total - $/Cwt.</t>
  </si>
  <si>
    <t xml:space="preserve">   Cash Interest Cost</t>
  </si>
  <si>
    <t>$/Hd.</t>
  </si>
  <si>
    <t>Units/Hd</t>
  </si>
  <si>
    <t>$/Unit</t>
  </si>
  <si>
    <t xml:space="preserve">Cost of Net Payweight Gain </t>
  </si>
  <si>
    <t xml:space="preserve">                      Marketing Margin</t>
  </si>
  <si>
    <t xml:space="preserve">                      Net Margin Based on Number of Head Out</t>
  </si>
  <si>
    <t>Lb. fed/Lb. Gain</t>
  </si>
  <si>
    <t>Pounds DM</t>
  </si>
  <si>
    <t>Starting Date - Retained or Purchased</t>
  </si>
  <si>
    <t>Cost of Gain Per Head Out</t>
  </si>
  <si>
    <t>$/Hd. Out</t>
  </si>
  <si>
    <t>Buyer of Cattle</t>
  </si>
  <si>
    <t>Total Purchase  In</t>
  </si>
  <si>
    <t>Management In Yard</t>
  </si>
  <si>
    <t>In Date</t>
  </si>
  <si>
    <t>Out Date</t>
  </si>
  <si>
    <t xml:space="preserve">Sex </t>
  </si>
  <si>
    <t>In Weight</t>
  </si>
  <si>
    <t>Out Weight</t>
  </si>
  <si>
    <t>Gain Per Head</t>
  </si>
  <si>
    <t>Days on Feed</t>
  </si>
  <si>
    <t>Average Daily Gain</t>
  </si>
  <si>
    <t>Dry Matter Conversion</t>
  </si>
  <si>
    <t>Net Payweight In and Lb./Head</t>
  </si>
  <si>
    <t>Number In - Hd.</t>
  </si>
  <si>
    <t>DM Fed - Feed Conversion</t>
  </si>
  <si>
    <t>Net Payweight  Out and Shrink % on Sales</t>
  </si>
  <si>
    <t>Net Payweight  Per Head Out</t>
  </si>
  <si>
    <t>Gain per Head</t>
  </si>
  <si>
    <t>Freight In</t>
  </si>
  <si>
    <t>Production Numbers Calculated</t>
  </si>
  <si>
    <t>Calculated Economic Measures</t>
  </si>
  <si>
    <t>Number of Cattle In  - Head</t>
  </si>
  <si>
    <t>Total Unit Cost (TUC)</t>
  </si>
  <si>
    <t>Revenue</t>
  </si>
  <si>
    <t xml:space="preserve">Cattle Sales - Net </t>
  </si>
  <si>
    <t>Total Revenue - Net Payweight Sales Price</t>
  </si>
  <si>
    <t>`</t>
  </si>
  <si>
    <t>$/Cwt. Out</t>
  </si>
  <si>
    <t>Direct Cost</t>
  </si>
  <si>
    <t>$/Cwt. In</t>
  </si>
  <si>
    <t>Total Direct Cost</t>
  </si>
  <si>
    <t>Finance Cost</t>
  </si>
  <si>
    <t>Total Cost - Total Unit Cost (TUC)</t>
  </si>
  <si>
    <t>Feeding Cost (Not Including Feeder Cattle Cost)</t>
  </si>
  <si>
    <t>Investment</t>
  </si>
  <si>
    <t xml:space="preserve">Annualized Return on Investment - ROI      </t>
  </si>
  <si>
    <t>%.</t>
  </si>
  <si>
    <t>_____________________________________________________________________________________________________</t>
  </si>
  <si>
    <t>____________________________________________________________________________________________________</t>
  </si>
  <si>
    <t xml:space="preserve">Return on Investment - ROI  </t>
  </si>
  <si>
    <t>$/Lb. of Gain</t>
  </si>
  <si>
    <t xml:space="preserve"> Head Out</t>
  </si>
  <si>
    <t>Feedyard and Lot Number</t>
  </si>
  <si>
    <t xml:space="preserve">$/Head </t>
  </si>
  <si>
    <t>______________________________________________________________________</t>
  </si>
  <si>
    <t>% of Breed</t>
  </si>
  <si>
    <t>Cost per loaded mile</t>
  </si>
  <si>
    <t>Total Per Load</t>
  </si>
  <si>
    <t>Pounds load</t>
  </si>
  <si>
    <t>Total Per Head</t>
  </si>
  <si>
    <t>Number of Hd.  On Load</t>
  </si>
  <si>
    <t>Miles Hauled</t>
  </si>
  <si>
    <t xml:space="preserve">  - See Sheet 2 for Data</t>
  </si>
  <si>
    <t>COG</t>
  </si>
  <si>
    <t>Cost of Gain$/Lb.</t>
  </si>
  <si>
    <t xml:space="preserve">                       Feeding Margin</t>
  </si>
  <si>
    <t>Breed and % of Dominant Breed</t>
  </si>
  <si>
    <t>Annualized Total</t>
  </si>
  <si>
    <t>Calculated Cost of Capital</t>
  </si>
  <si>
    <t>Feeder Cost</t>
  </si>
  <si>
    <t>Net Margin</t>
  </si>
  <si>
    <t>Production Costs and Margin</t>
  </si>
  <si>
    <t>Starting Date and  Ending Date</t>
  </si>
  <si>
    <t>Ending Date or Marketed Date</t>
  </si>
  <si>
    <t>Net Payweight Sale Price - Head Out</t>
  </si>
  <si>
    <r>
      <t xml:space="preserve">Net Payweight per Head </t>
    </r>
    <r>
      <rPr>
        <b/>
        <sz val="12"/>
        <rFont val="Arial"/>
        <family val="2"/>
      </rPr>
      <t>In</t>
    </r>
  </si>
  <si>
    <r>
      <t xml:space="preserve">Days Per Head </t>
    </r>
    <r>
      <rPr>
        <b/>
        <sz val="12"/>
        <rFont val="Arial"/>
        <family val="2"/>
      </rPr>
      <t>Out</t>
    </r>
  </si>
  <si>
    <t>Net Payweight Gain Per Head Out</t>
  </si>
  <si>
    <t>Closeout Custom Finished Cattle Profit Analysis</t>
  </si>
  <si>
    <t>Closeout Custom Finished Cattle Profitability  Analysis</t>
  </si>
  <si>
    <t>Feeder Cattle Freight Calculator</t>
  </si>
  <si>
    <t>Weight  on Sheet 2</t>
  </si>
  <si>
    <t>Total for Cattle</t>
  </si>
  <si>
    <r>
      <t>DM Fed - Feed Conversion -</t>
    </r>
    <r>
      <rPr>
        <sz val="11"/>
        <rFont val="Arial"/>
        <family val="2"/>
      </rPr>
      <t xml:space="preserve"> Based On Payweights In &amp; Out</t>
    </r>
  </si>
  <si>
    <t>Lb. fed/Lb. Net Gain</t>
  </si>
  <si>
    <t xml:space="preserve">Total Gain-Out </t>
  </si>
  <si>
    <t>Ave. Daily Gain</t>
  </si>
  <si>
    <t xml:space="preserve">                     Feed Conversion Rate </t>
  </si>
  <si>
    <t>Always use deads In values</t>
  </si>
  <si>
    <t>Head Out</t>
  </si>
  <si>
    <t>Total Indirect Cost</t>
  </si>
  <si>
    <t>% of TUC</t>
  </si>
  <si>
    <t>$/Hd. In</t>
  </si>
  <si>
    <t>_______________________________________________________________________________________________________________________________</t>
  </si>
  <si>
    <t>Pounds of DM Feed Fed</t>
  </si>
  <si>
    <t>Day/Head</t>
  </si>
  <si>
    <t xml:space="preserve">Economic capital cost </t>
  </si>
  <si>
    <t>Pounds of Feed DM/Lb. Gain</t>
  </si>
  <si>
    <t>% Opportunity interest rate.</t>
  </si>
  <si>
    <t xml:space="preserve">           COG</t>
  </si>
  <si>
    <t>$/Lb.</t>
  </si>
  <si>
    <t>Carcass Data</t>
  </si>
  <si>
    <t>Average Net Payweight</t>
  </si>
  <si>
    <r>
      <t>Net Income or Net Margin*</t>
    </r>
    <r>
      <rPr>
        <b/>
        <sz val="8"/>
        <rFont val="Arial"/>
        <family val="2"/>
      </rPr>
      <t xml:space="preserve"> </t>
    </r>
  </si>
  <si>
    <t>Net Income*</t>
  </si>
  <si>
    <t xml:space="preserve">Cost of Gain* </t>
  </si>
  <si>
    <t>Cost of Gain*</t>
  </si>
  <si>
    <t>Payweight Cost of Cattle In</t>
  </si>
  <si>
    <t>___________________________________________________</t>
  </si>
  <si>
    <t>Total Annualized Investment</t>
  </si>
  <si>
    <t>Net income + Interest</t>
  </si>
  <si>
    <t>ROI</t>
  </si>
  <si>
    <t xml:space="preserve"> Ave./Lb./Head </t>
  </si>
  <si>
    <t>Direct Costs</t>
  </si>
  <si>
    <t>Total Cost -Total Unit Cost</t>
  </si>
  <si>
    <t xml:space="preserve">  1/2 of non-cattle cost, (not including interest), times days fed/365 </t>
  </si>
  <si>
    <t>Total Net Revenue</t>
  </si>
  <si>
    <t>Quality Grade</t>
  </si>
  <si>
    <t xml:space="preserve">Choice or More </t>
  </si>
  <si>
    <t>Yield Grade</t>
  </si>
  <si>
    <t xml:space="preserve">Yield Grade 1-2 </t>
  </si>
  <si>
    <t xml:space="preserve">Yield Grade  4-5 </t>
  </si>
  <si>
    <t>Based on head out including railed.</t>
  </si>
  <si>
    <t>Cattle valued at net market valor or run at accumulated cost of at cost of production.</t>
  </si>
  <si>
    <t>Indirect Cost - If Used*</t>
  </si>
  <si>
    <t xml:space="preserve">*Used if part of owner-ranch managers time is charger to feedyard manager cattle. </t>
  </si>
  <si>
    <t xml:space="preserve">**Annualized operating capital required is calculated by adding cost of cattle in plus </t>
  </si>
  <si>
    <t>Operating Capital**</t>
  </si>
  <si>
    <t>Cash Interest Cost Recorded***</t>
  </si>
  <si>
    <t xml:space="preserve">Other Purchase Costs </t>
  </si>
  <si>
    <t>Total Cost</t>
  </si>
  <si>
    <t>Head Days</t>
  </si>
  <si>
    <t>Annualized Capital Required</t>
  </si>
  <si>
    <t>Cattle In</t>
  </si>
  <si>
    <t>Total Capital Required</t>
  </si>
  <si>
    <t>Feeding Cost Annualized Capital Required</t>
  </si>
  <si>
    <t>Used if total operating capital is borrowed minus cash interest paid.</t>
  </si>
  <si>
    <t xml:space="preserve">          % Loss </t>
  </si>
  <si>
    <t>Railing Loss</t>
  </si>
  <si>
    <t>Death &amp; Railing Loss and Percent Loss</t>
  </si>
  <si>
    <t>Head/%</t>
  </si>
  <si>
    <t xml:space="preserve">     Per Lb.</t>
  </si>
  <si>
    <t>Death &amp; Rail Loss</t>
  </si>
  <si>
    <r>
      <t xml:space="preserve">Head Marketed </t>
    </r>
    <r>
      <rPr>
        <sz val="10"/>
        <rFont val="Arial"/>
        <family val="2"/>
      </rPr>
      <t>(including railed)</t>
    </r>
  </si>
  <si>
    <t>Dressing % - Hot Yield</t>
  </si>
  <si>
    <t>Days on feed</t>
  </si>
  <si>
    <t>Shipped</t>
  </si>
  <si>
    <t xml:space="preserve">Calendar </t>
  </si>
  <si>
    <t xml:space="preserve">          Finished Fed Cattle Benchmark Report Definitions</t>
  </si>
  <si>
    <t>Total Unit Cost (TUC) - $/Cwt.</t>
  </si>
  <si>
    <t xml:space="preserve">Carcass Weight </t>
  </si>
  <si>
    <t>Death + Railer Loss %</t>
  </si>
  <si>
    <t>Payweight Cost of Cattle - $/Cwt.</t>
  </si>
  <si>
    <r>
      <t>Value of Gain (VOG)</t>
    </r>
    <r>
      <rPr>
        <sz val="12"/>
        <color theme="1"/>
        <rFont val="Times New Roman"/>
        <family val="1"/>
      </rPr>
      <t xml:space="preserve"> = ((Total Revenue of Cattle Out -Total Cattle In Cost)/Net Gain) When measuring projection or closeouts profitability the value of gain (VOG) versus (COG) of gain is a good measure to review. Value of gain must be greater than COG for the finishing activity to be profitable.   </t>
    </r>
  </si>
  <si>
    <r>
      <rPr>
        <b/>
        <sz val="12"/>
        <color theme="1"/>
        <rFont val="Times New Roman"/>
        <family val="1"/>
      </rPr>
      <t>Marketing Margin</t>
    </r>
    <r>
      <rPr>
        <sz val="12"/>
        <color theme="1"/>
        <rFont val="Times New Roman"/>
        <family val="1"/>
      </rPr>
      <t xml:space="preserve"> is the net payweight sales for the weaned calf or purchase payweight of the stocker/feeder based on sales and inventory adjustments times buy/sell margin or the rollback or roll-up (positive or negative margins between cost of buying and selling price).  For a negative marketing margin, the cost of gain has to be less than its market price (sales price) to have a positive net income. </t>
    </r>
  </si>
  <si>
    <r>
      <rPr>
        <b/>
        <sz val="12"/>
        <color theme="1"/>
        <rFont val="Times New Roman"/>
        <family val="1"/>
      </rPr>
      <t xml:space="preserve">Feeding Margin </t>
    </r>
    <r>
      <rPr>
        <sz val="12"/>
        <color theme="1"/>
        <rFont val="Times New Roman"/>
        <family val="1"/>
      </rPr>
      <t xml:space="preserve">is the sales price minus the cost of gain times the net payweight gain.  It is a measure of how much the value of gain exceeds the cost of gain.  Under normal buy-sell prices, there is a negative marketing margin.  The feeding margin must offset this negative marketing margin for the enterprise to generate a positive net income.  To generate a profit, the marketing margin plus the feeding margin must be positive. Feeding Margin is the net finished fed sales price minus the total cost of gain times the net payweight gain.  </t>
    </r>
  </si>
  <si>
    <r>
      <rPr>
        <b/>
        <sz val="12"/>
        <color theme="1"/>
        <rFont val="Times New Roman"/>
        <family val="1"/>
      </rPr>
      <t>Net Margin or Net Income</t>
    </r>
    <r>
      <rPr>
        <sz val="12"/>
        <color theme="1"/>
        <rFont val="Times New Roman"/>
        <family val="1"/>
      </rPr>
      <t xml:space="preserve"> is the difference between the value of the net sales and the original stocker/feeder value and added cost for production including direct, indirect cost and financing cost.  If these costs are included this is total cost or total unit cost (TUC) per head and per cwt. of cattle marketed. The net margin or net income is made up of two components, marketing margin and feeding margin. The sum of marketing margin and feeding margin is net income or profit per head.</t>
    </r>
  </si>
  <si>
    <r>
      <rPr>
        <b/>
        <sz val="12"/>
        <rFont val="Times New Roman"/>
        <family val="1"/>
      </rPr>
      <t>Annualized Return on Investment (ROI)</t>
    </r>
    <r>
      <rPr>
        <sz val="12"/>
        <rFont val="Times New Roman"/>
        <family val="1"/>
      </rPr>
      <t xml:space="preserve"> is the net income plus cash interest paid divided by annualized capital investment requirement to support the cattle feeding activity. The reason interest is added back is interest paid represents a return the debt capital. ROI is a return to capital invested irrespective of capital ownership. Capital is adjusted for the time cattle are on feed. Investment required is estimated by taking one half of the investment is non-cattle costs plus the total payweight cost of the feeder cattle times days on feed divided by 365 days. A low ROI is due to high feeder cost relative to sales value, high feeding costs of gain, poor production performance or a combination of these factors</t>
    </r>
  </si>
  <si>
    <t>Head Out - Shipped</t>
  </si>
  <si>
    <t>Calendar Days</t>
  </si>
  <si>
    <t>Finished Cattle Lot Performance Benchmark Report</t>
  </si>
  <si>
    <t>Total Cost of Gain - Lb.</t>
  </si>
  <si>
    <t>Value of Gain - Lb.</t>
  </si>
  <si>
    <t>Net Payweight Sale Price - $/Cwt.</t>
  </si>
  <si>
    <t>Net Income or Net Margin</t>
  </si>
  <si>
    <r>
      <t xml:space="preserve">Net Average Daily Gain - </t>
    </r>
    <r>
      <rPr>
        <sz val="10"/>
        <rFont val="Arial"/>
        <family val="2"/>
      </rPr>
      <t>Based on Actual Head Days</t>
    </r>
  </si>
  <si>
    <t>Net Payweight Gain and Net Gain per Head Out</t>
  </si>
  <si>
    <t xml:space="preserve">Head </t>
  </si>
  <si>
    <t>Feedyard</t>
  </si>
  <si>
    <t>Head Shipped - Formula Sales</t>
  </si>
  <si>
    <t>Feedyard Expense Summary Data</t>
  </si>
  <si>
    <t>Railer Loss</t>
  </si>
  <si>
    <t>Includes Railers</t>
  </si>
  <si>
    <t>Feedyard Priced =1, Accumulated Cost = 2</t>
  </si>
  <si>
    <t xml:space="preserve">         $/Cwt.</t>
  </si>
  <si>
    <t>Formula Cattle - Hd.</t>
  </si>
  <si>
    <t xml:space="preserve"> *No Indirect Cost Included.</t>
  </si>
  <si>
    <t>Cattle Pricing</t>
  </si>
  <si>
    <t>Average Net Payweight-Formula</t>
  </si>
  <si>
    <t>for cattle into lot</t>
  </si>
  <si>
    <t>Feeder Cattle Cost In</t>
  </si>
  <si>
    <t xml:space="preserve">Revenue, Feeder Cost, Cost of Gain and Margin - Head Out </t>
  </si>
  <si>
    <t>Cost of Feeder</t>
  </si>
  <si>
    <t>Head IN</t>
  </si>
  <si>
    <t>Days/Head In</t>
  </si>
  <si>
    <r>
      <t xml:space="preserve">Days Fed and Days per Head Out </t>
    </r>
    <r>
      <rPr>
        <sz val="10"/>
        <rFont val="Arial"/>
        <family val="2"/>
      </rPr>
      <t>(Formula or Shipped + Rail)</t>
    </r>
  </si>
  <si>
    <t>Calendar days in feedyard</t>
  </si>
  <si>
    <r>
      <t xml:space="preserve">Head Marketed </t>
    </r>
    <r>
      <rPr>
        <sz val="10"/>
        <rFont val="Arial"/>
        <family val="2"/>
      </rPr>
      <t>(Including Railers) - Hd. Out</t>
    </r>
  </si>
  <si>
    <r>
      <t xml:space="preserve">                                 Head Marketed </t>
    </r>
    <r>
      <rPr>
        <sz val="10"/>
        <rFont val="Arial"/>
        <family val="2"/>
      </rPr>
      <t>(Including Railers) - Hd. Out</t>
    </r>
  </si>
  <si>
    <t>Net price gross proceeds adjusted for checkoff and freight.</t>
  </si>
  <si>
    <t xml:space="preserve"> Net proceeds = gross proceeds minus freight &amp; checkoff costs.</t>
  </si>
  <si>
    <t>Clarifications</t>
  </si>
  <si>
    <t xml:space="preserve">Checkoff and freight is subtracted for revenue to calculate net payweight sale price. </t>
  </si>
  <si>
    <t>Futures or option net income can be added for the owner evaluation.</t>
  </si>
  <si>
    <r>
      <t xml:space="preserve">Gain per head and average daily gain (AGD) </t>
    </r>
    <r>
      <rPr>
        <b/>
        <sz val="12"/>
        <rFont val="Arial"/>
        <family val="2"/>
      </rPr>
      <t xml:space="preserve">does include </t>
    </r>
    <r>
      <rPr>
        <sz val="12"/>
        <rFont val="Arial"/>
        <family val="2"/>
      </rPr>
      <t xml:space="preserve">railed cattle. </t>
    </r>
  </si>
  <si>
    <r>
      <t xml:space="preserve">will likely differ from </t>
    </r>
    <r>
      <rPr>
        <b/>
        <sz val="12"/>
        <rFont val="Arial"/>
        <family val="2"/>
      </rPr>
      <t>market valuation</t>
    </r>
    <r>
      <rPr>
        <sz val="12"/>
        <rFont val="Arial"/>
        <family val="2"/>
      </rPr>
      <t xml:space="preserve"> used in the feedyard report.</t>
    </r>
  </si>
  <si>
    <t>Total Sales - Formula &amp; Railer</t>
  </si>
  <si>
    <t xml:space="preserve">Total Head Days </t>
  </si>
  <si>
    <t>Total Sales - Payweight Out</t>
  </si>
  <si>
    <t>Cattle - Purchase - Payweight In</t>
  </si>
  <si>
    <t xml:space="preserve">         $/Head - In</t>
  </si>
  <si>
    <r>
      <t xml:space="preserve"> Head out includes the railed cattle even though they </t>
    </r>
    <r>
      <rPr>
        <b/>
        <sz val="12"/>
        <rFont val="Arial"/>
        <family val="2"/>
      </rPr>
      <t>may not</t>
    </r>
    <r>
      <rPr>
        <sz val="12"/>
        <rFont val="Arial"/>
        <family val="2"/>
      </rPr>
      <t xml:space="preserve"> generate any revenue.</t>
    </r>
  </si>
  <si>
    <t>Or head shipped for slaughter.</t>
  </si>
  <si>
    <r>
      <t xml:space="preserve">This decision aid provides the use of </t>
    </r>
    <r>
      <rPr>
        <b/>
        <sz val="12"/>
        <rFont val="Arial"/>
        <family val="2"/>
      </rPr>
      <t>accumulated cost of the feeder in</t>
    </r>
  </si>
  <si>
    <t>or the feedyard used value for the feeder into the lot.</t>
  </si>
  <si>
    <t>The cattle owner has purchase calf or feeder production and freight costs that</t>
  </si>
  <si>
    <t>measure of owner profit,</t>
  </si>
  <si>
    <t>The cattle owner can indicate this and value the "cost in" the feedyard to get a true</t>
  </si>
  <si>
    <t>Custom Finish Cattle Financial Lot Closeout Data by Lot</t>
  </si>
  <si>
    <t>Head Shipped For Harvest</t>
  </si>
  <si>
    <t>Buyer of Finished</t>
  </si>
  <si>
    <t>Processing</t>
  </si>
  <si>
    <t>Feed</t>
  </si>
  <si>
    <t xml:space="preserve">Feedyard costs </t>
  </si>
  <si>
    <t>Feed Cost of Gain</t>
  </si>
  <si>
    <t>Subtotal Feed Cost</t>
  </si>
  <si>
    <t xml:space="preserve">Feedyard Feed Expense </t>
  </si>
  <si>
    <t>Hd. Out - All Sales</t>
  </si>
  <si>
    <t>Included Railers or Culls</t>
  </si>
  <si>
    <t>Formula Sales or Shipped for Harvest</t>
  </si>
  <si>
    <t>Per head out including Railers</t>
  </si>
  <si>
    <t>Notes on Closeout Lot Reports</t>
  </si>
  <si>
    <t>Interest, management and other indirect cost can be added to feedyard costs.</t>
  </si>
  <si>
    <r>
      <rPr>
        <b/>
        <sz val="12"/>
        <rFont val="Arial"/>
        <family val="2"/>
      </rPr>
      <t>Total unit costs (TUC)</t>
    </r>
    <r>
      <rPr>
        <sz val="12"/>
        <rFont val="Arial"/>
        <family val="2"/>
      </rPr>
      <t xml:space="preserve"> can include owner costs beyond the feedyard costs.</t>
    </r>
  </si>
  <si>
    <t>Based on actual total head days of feed rather than calendar days.</t>
  </si>
  <si>
    <r>
      <rPr>
        <b/>
        <sz val="12"/>
        <color theme="1"/>
        <rFont val="Times New Roman"/>
        <family val="1"/>
      </rPr>
      <t>Retaining ownership is a margin business.</t>
    </r>
    <r>
      <rPr>
        <sz val="12"/>
        <color theme="1"/>
        <rFont val="Times New Roman"/>
        <family val="1"/>
      </rPr>
      <t xml:space="preserve"> An area of information not communally observed in finish closeout performance evaluation is where the margins are earned. These values stress the importance of marketing when retaining cattle ownership. These margins are defined as follows:</t>
    </r>
  </si>
  <si>
    <t>Steers</t>
  </si>
  <si>
    <t>Vet Medicine</t>
  </si>
  <si>
    <t xml:space="preserve">            Sales Head</t>
  </si>
  <si>
    <t>Stocker</t>
  </si>
  <si>
    <t>Hay</t>
  </si>
  <si>
    <t>Fees&amp; Other</t>
  </si>
  <si>
    <t>Grain Adjustment</t>
  </si>
  <si>
    <t>Check Off -</t>
  </si>
  <si>
    <t xml:space="preserve">   Head</t>
  </si>
  <si>
    <t xml:space="preserve">             Percent</t>
  </si>
  <si>
    <t xml:space="preserve">    $/Cwt.</t>
  </si>
  <si>
    <t>Prime</t>
  </si>
  <si>
    <t>CAB</t>
  </si>
  <si>
    <t>Choice</t>
  </si>
  <si>
    <t>Choice or More</t>
  </si>
  <si>
    <t xml:space="preserve">Select </t>
  </si>
  <si>
    <t>YG1</t>
  </si>
  <si>
    <t>YG2</t>
  </si>
  <si>
    <t>YG3</t>
  </si>
  <si>
    <t>YG4</t>
  </si>
  <si>
    <t>YG5</t>
  </si>
  <si>
    <t>No Roll</t>
  </si>
  <si>
    <t>Part of incomplete carcass data.</t>
  </si>
  <si>
    <t>Misc.</t>
  </si>
  <si>
    <t>TX Feedyard</t>
  </si>
  <si>
    <t>Angus</t>
  </si>
  <si>
    <t>Example</t>
  </si>
  <si>
    <t>Carcass Data - See Details in Sheet 5.</t>
  </si>
  <si>
    <t>Freight -</t>
  </si>
  <si>
    <t xml:space="preserve">South TX </t>
  </si>
  <si>
    <t>Other</t>
  </si>
  <si>
    <t>Tyson</t>
  </si>
  <si>
    <t>Conventional</t>
  </si>
  <si>
    <t xml:space="preserve">Annualized Return on Equity - ROE      </t>
  </si>
  <si>
    <t>% Equity</t>
  </si>
  <si>
    <t>Equity</t>
  </si>
  <si>
    <t xml:space="preserve">Annualized Return on Investment - ROI  </t>
  </si>
  <si>
    <r>
      <t>DM Fed - Feed Conversion -</t>
    </r>
    <r>
      <rPr>
        <sz val="11"/>
        <rFont val="Arial"/>
        <family val="2"/>
      </rPr>
      <t xml:space="preserve"> Based On Payweight In &amp; Out</t>
    </r>
  </si>
  <si>
    <t xml:space="preserve">Annualized Return on Equity - ROE  </t>
  </si>
  <si>
    <r>
      <t xml:space="preserve">Annualized Net Return on Equity (ROE) </t>
    </r>
    <r>
      <rPr>
        <sz val="12"/>
        <rFont val="Times New Roman"/>
        <family val="1"/>
      </rPr>
      <t xml:space="preserve">uses the same financial statement values as ROI calculations except the </t>
    </r>
    <r>
      <rPr>
        <b/>
        <sz val="12"/>
        <rFont val="Times New Roman"/>
        <family val="1"/>
      </rPr>
      <t>devisor is annualized equity invested</t>
    </r>
    <r>
      <rPr>
        <sz val="12"/>
        <rFont val="Times New Roman"/>
        <family val="1"/>
      </rPr>
      <t xml:space="preserve">. The portions of equity relative to total investment is called leverage.  If ROE is greater than interest cost, using debt is profitable. The opposite is true if ROE is less than the cost of capital. </t>
    </r>
  </si>
  <si>
    <t>Version Date 6-24-2022</t>
  </si>
  <si>
    <t>***Interest is not included in feedyard performance cost of gain in the Final Closeout.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</si>
</sst>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dd\-mmm\-yy_)"/>
    <numFmt numFmtId="165" formatCode="0_)"/>
    <numFmt numFmtId="166" formatCode="[$$-409]#,##0"/>
    <numFmt numFmtId="167" formatCode="[$$-409]#,##0.00"/>
    <numFmt numFmtId="168" formatCode="_(* #,##0_);_(* \(#,##0\);_(* &quot;-&quot;??_);_(@_)"/>
    <numFmt numFmtId="169" formatCode="[$$-409]#,##0.00_);[Red]\([$$-409]#,##0.00\)"/>
    <numFmt numFmtId="170" formatCode="&quot;$&quot;#,##0.00"/>
    <numFmt numFmtId="171" formatCode="0.0_)"/>
    <numFmt numFmtId="172" formatCode="0.00_)"/>
    <numFmt numFmtId="173" formatCode="0_);\(0\)"/>
    <numFmt numFmtId="174" formatCode="&quot;$&quot;#,##0"/>
    <numFmt numFmtId="175" formatCode="0.000"/>
    <numFmt numFmtId="176" formatCode="[$$-409]#,##0_);[Red]\([$$-409]#,##0\)"/>
    <numFmt numFmtId="177" formatCode="0.0"/>
    <numFmt numFmtId="178" formatCode="0.0%"/>
    <numFmt numFmtId="179" formatCode="[$-409]d\-mmm\-yy;@"/>
    <numFmt numFmtId="180" formatCode="&quot;$&quot;#,##0.000_);[Red]\(&quot;$&quot;#,##0.000\)"/>
    <numFmt numFmtId="181" formatCode="&quot;$&quot;#,##0.000_);\(&quot;$&quot;#,##0.000\)"/>
    <numFmt numFmtId="182" formatCode="&quot;$&quot;#,##0.0000_);\(&quot;$&quot;#,##0.0000\)"/>
    <numFmt numFmtId="183" formatCode="&quot;$&quot;#,##0.000"/>
    <numFmt numFmtId="184" formatCode="&quot;$&quot;#,##0.0000_);[Red]\(&quot;$&quot;#,##0.0000\)"/>
    <numFmt numFmtId="185" formatCode="_(* #,##0.0_);_(* \(#,##0.0\);_(* &quot;-&quot;??_);_(@_)"/>
  </numFmts>
  <fonts count="36" x14ac:knownFonts="1">
    <font>
      <sz val="12"/>
      <name val="Arial"/>
    </font>
    <font>
      <sz val="12"/>
      <name val="Arial"/>
      <family val="2"/>
    </font>
    <font>
      <b/>
      <sz val="14"/>
      <name val="Arial"/>
      <family val="2"/>
    </font>
    <font>
      <sz val="12"/>
      <color indexed="12"/>
      <name val="Arial"/>
      <family val="2"/>
    </font>
    <font>
      <sz val="12"/>
      <name val="Arial"/>
      <family val="2"/>
    </font>
    <font>
      <sz val="12"/>
      <color indexed="39"/>
      <name val="Arial"/>
      <family val="2"/>
    </font>
    <font>
      <b/>
      <sz val="12"/>
      <name val="Arial"/>
      <family val="2"/>
    </font>
    <font>
      <b/>
      <sz val="10"/>
      <name val="Arial"/>
      <family val="2"/>
    </font>
    <font>
      <sz val="10"/>
      <name val="Arial"/>
      <family val="2"/>
    </font>
    <font>
      <sz val="12"/>
      <color indexed="39"/>
      <name val="Arial"/>
      <family val="2"/>
    </font>
    <font>
      <sz val="8"/>
      <name val="Arial"/>
      <family val="2"/>
    </font>
    <font>
      <b/>
      <sz val="12"/>
      <color indexed="39"/>
      <name val="Arial"/>
      <family val="2"/>
    </font>
    <font>
      <sz val="10"/>
      <name val="Arial"/>
      <family val="2"/>
    </font>
    <font>
      <b/>
      <sz val="16"/>
      <name val="Arial"/>
      <family val="2"/>
    </font>
    <font>
      <sz val="11"/>
      <name val="Arial"/>
      <family val="2"/>
    </font>
    <font>
      <b/>
      <sz val="8"/>
      <name val="Arial"/>
      <family val="2"/>
    </font>
    <font>
      <b/>
      <sz val="11"/>
      <name val="Arial"/>
      <family val="2"/>
    </font>
    <font>
      <sz val="14"/>
      <name val="Arial"/>
      <family val="2"/>
    </font>
    <font>
      <sz val="12"/>
      <color indexed="10"/>
      <name val="Arial"/>
      <family val="2"/>
    </font>
    <font>
      <sz val="10"/>
      <color indexed="10"/>
      <name val="Arial"/>
      <family val="2"/>
    </font>
    <font>
      <sz val="8"/>
      <name val="Arial"/>
      <family val="2"/>
    </font>
    <font>
      <b/>
      <sz val="12"/>
      <color rgb="FF0070C0"/>
      <name val="Arial"/>
      <family val="2"/>
    </font>
    <font>
      <b/>
      <sz val="12"/>
      <color rgb="FFFF0000"/>
      <name val="Arial"/>
      <family val="2"/>
    </font>
    <font>
      <sz val="12"/>
      <color rgb="FF1508B8"/>
      <name val="Arial"/>
      <family val="2"/>
    </font>
    <font>
      <sz val="12"/>
      <color rgb="FFFF0000"/>
      <name val="Arial"/>
      <family val="2"/>
    </font>
    <font>
      <sz val="12"/>
      <color rgb="FF0000FF"/>
      <name val="Arial"/>
      <family val="2"/>
    </font>
    <font>
      <sz val="11"/>
      <color theme="1"/>
      <name val="Arial"/>
      <family val="2"/>
    </font>
    <font>
      <sz val="12"/>
      <color rgb="FF3333FF"/>
      <name val="Arial"/>
      <family val="2"/>
    </font>
    <font>
      <sz val="11"/>
      <color rgb="FF0000FF"/>
      <name val="Arial"/>
      <family val="2"/>
    </font>
    <font>
      <sz val="12"/>
      <name val="Times New Roman"/>
      <family val="1"/>
    </font>
    <font>
      <b/>
      <sz val="12"/>
      <name val="Times New Roman"/>
      <family val="1"/>
    </font>
    <font>
      <b/>
      <sz val="12"/>
      <color theme="1"/>
      <name val="Times New Roman"/>
      <family val="1"/>
    </font>
    <font>
      <sz val="11"/>
      <color theme="1"/>
      <name val="Times New Roman"/>
      <family val="1"/>
    </font>
    <font>
      <sz val="12"/>
      <color theme="1"/>
      <name val="Times New Roman"/>
      <family val="1"/>
    </font>
    <font>
      <sz val="11"/>
      <color rgb="FF3333FF"/>
      <name val="Arial"/>
      <family val="2"/>
    </font>
    <font>
      <b/>
      <sz val="12"/>
      <color rgb="FF3333FF"/>
      <name val="Arial"/>
      <family val="2"/>
    </font>
  </fonts>
  <fills count="7">
    <fill>
      <patternFill patternType="none"/>
    </fill>
    <fill>
      <patternFill patternType="gray125"/>
    </fill>
    <fill>
      <patternFill patternType="solid">
        <fgColor indexed="9"/>
        <bgColor indexed="9"/>
      </patternFill>
    </fill>
    <fill>
      <patternFill patternType="solid">
        <fgColor indexed="42"/>
        <bgColor indexed="64"/>
      </patternFill>
    </fill>
    <fill>
      <patternFill patternType="solid">
        <fgColor indexed="42"/>
        <bgColor indexed="9"/>
      </patternFill>
    </fill>
    <fill>
      <patternFill patternType="solid">
        <fgColor rgb="FFCCFFCC"/>
        <bgColor indexed="64"/>
      </patternFill>
    </fill>
    <fill>
      <patternFill patternType="solid">
        <fgColor theme="0"/>
        <bgColor indexed="64"/>
      </patternFill>
    </fill>
  </fills>
  <borders count="2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8"/>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2" fillId="0" borderId="0"/>
    <xf numFmtId="9" fontId="1" fillId="0" borderId="0" applyFont="0" applyFill="0" applyBorder="0" applyAlignment="0" applyProtection="0"/>
  </cellStyleXfs>
  <cellXfs count="340">
    <xf numFmtId="0" fontId="0" fillId="0" borderId="0" xfId="0"/>
    <xf numFmtId="0" fontId="1" fillId="0" borderId="0" xfId="0" applyFont="1" applyAlignment="1">
      <alignment horizontal="center"/>
    </xf>
    <xf numFmtId="0" fontId="1" fillId="0" borderId="0" xfId="0" applyFont="1"/>
    <xf numFmtId="15" fontId="1" fillId="0" borderId="0" xfId="0" applyNumberFormat="1" applyFont="1" applyAlignment="1" applyProtection="1"/>
    <xf numFmtId="0" fontId="4" fillId="0" borderId="0" xfId="0" applyFont="1"/>
    <xf numFmtId="7" fontId="4" fillId="0" borderId="0" xfId="0" applyNumberFormat="1" applyFont="1" applyProtection="1"/>
    <xf numFmtId="15" fontId="0" fillId="0" borderId="0" xfId="0" applyNumberFormat="1"/>
    <xf numFmtId="3" fontId="0" fillId="0" borderId="0" xfId="0" applyNumberFormat="1"/>
    <xf numFmtId="7" fontId="4" fillId="0" borderId="0" xfId="0" applyNumberFormat="1" applyFont="1"/>
    <xf numFmtId="7" fontId="6" fillId="0" borderId="0" xfId="0" applyNumberFormat="1" applyFont="1"/>
    <xf numFmtId="0" fontId="6" fillId="0" borderId="0" xfId="0" applyFont="1"/>
    <xf numFmtId="0" fontId="6" fillId="0" borderId="0" xfId="0" applyFont="1" applyAlignment="1">
      <alignment horizontal="center"/>
    </xf>
    <xf numFmtId="5" fontId="6" fillId="0" borderId="0" xfId="0" applyNumberFormat="1" applyFont="1" applyProtection="1"/>
    <xf numFmtId="165" fontId="4" fillId="0" borderId="0" xfId="0" applyNumberFormat="1" applyFont="1"/>
    <xf numFmtId="0" fontId="4" fillId="0" borderId="0" xfId="0" applyFont="1" applyAlignment="1">
      <alignment horizontal="center"/>
    </xf>
    <xf numFmtId="7" fontId="6" fillId="0" borderId="0" xfId="0" applyNumberFormat="1" applyFont="1" applyProtection="1"/>
    <xf numFmtId="5" fontId="4" fillId="0" borderId="0" xfId="0" applyNumberFormat="1" applyFont="1" applyProtection="1"/>
    <xf numFmtId="175" fontId="0" fillId="0" borderId="0" xfId="0" applyNumberFormat="1"/>
    <xf numFmtId="44" fontId="0" fillId="0" borderId="0" xfId="2" applyFont="1" applyProtection="1"/>
    <xf numFmtId="0" fontId="4" fillId="0" borderId="0" xfId="0" applyNumberFormat="1" applyFont="1" applyAlignment="1">
      <alignment horizontal="center" vertical="center"/>
    </xf>
    <xf numFmtId="173" fontId="4" fillId="0" borderId="0" xfId="0" applyNumberFormat="1" applyFont="1" applyAlignment="1" applyProtection="1"/>
    <xf numFmtId="0" fontId="7" fillId="0" borderId="0" xfId="0" applyFont="1"/>
    <xf numFmtId="2" fontId="0" fillId="0" borderId="0" xfId="0" applyNumberFormat="1"/>
    <xf numFmtId="165" fontId="0" fillId="0" borderId="0" xfId="0" applyNumberFormat="1"/>
    <xf numFmtId="166" fontId="0" fillId="0" borderId="0" xfId="0" applyNumberFormat="1"/>
    <xf numFmtId="0" fontId="8" fillId="0" borderId="0" xfId="0" applyFont="1" applyAlignment="1">
      <alignment horizontal="center"/>
    </xf>
    <xf numFmtId="7" fontId="0" fillId="0" borderId="0" xfId="0" applyNumberFormat="1"/>
    <xf numFmtId="169" fontId="0" fillId="0" borderId="0" xfId="0" applyNumberFormat="1"/>
    <xf numFmtId="167" fontId="0" fillId="0" borderId="0" xfId="0" applyNumberFormat="1"/>
    <xf numFmtId="170" fontId="9" fillId="0" borderId="0" xfId="0" applyNumberFormat="1" applyFont="1" applyProtection="1">
      <protection locked="0"/>
    </xf>
    <xf numFmtId="0" fontId="9" fillId="0" borderId="0" xfId="0" applyFont="1" applyProtection="1">
      <protection locked="0"/>
    </xf>
    <xf numFmtId="166" fontId="4" fillId="0" borderId="0" xfId="1" applyNumberFormat="1" applyFont="1" applyBorder="1" applyProtection="1"/>
    <xf numFmtId="168" fontId="0" fillId="0" borderId="0" xfId="0" applyNumberFormat="1"/>
    <xf numFmtId="8" fontId="6" fillId="0" borderId="0" xfId="0" applyNumberFormat="1" applyFont="1"/>
    <xf numFmtId="170" fontId="11" fillId="0" borderId="0" xfId="0" applyNumberFormat="1" applyFont="1" applyProtection="1">
      <protection locked="0"/>
    </xf>
    <xf numFmtId="0" fontId="4" fillId="0" borderId="0" xfId="0" applyFont="1" applyProtection="1">
      <protection locked="0"/>
    </xf>
    <xf numFmtId="5" fontId="4" fillId="0" borderId="0" xfId="0" applyNumberFormat="1" applyFont="1" applyBorder="1" applyProtection="1"/>
    <xf numFmtId="0" fontId="1" fillId="0" borderId="0" xfId="0" applyFont="1" applyFill="1" applyBorder="1"/>
    <xf numFmtId="0" fontId="0" fillId="0" borderId="0" xfId="0" applyAlignment="1">
      <alignment horizontal="center"/>
    </xf>
    <xf numFmtId="0" fontId="12" fillId="0" borderId="0" xfId="3"/>
    <xf numFmtId="0" fontId="1" fillId="0" borderId="0" xfId="3" applyFont="1"/>
    <xf numFmtId="0" fontId="4" fillId="0" borderId="0" xfId="3" applyFont="1" applyProtection="1">
      <protection locked="0"/>
    </xf>
    <xf numFmtId="0" fontId="4" fillId="0" borderId="0" xfId="3" applyFont="1" applyProtection="1"/>
    <xf numFmtId="0" fontId="4" fillId="0" borderId="0" xfId="3" applyFont="1"/>
    <xf numFmtId="0" fontId="6" fillId="0" borderId="0" xfId="3" applyFont="1"/>
    <xf numFmtId="0" fontId="4" fillId="0" borderId="0" xfId="3" applyFont="1" applyAlignment="1">
      <alignment horizontal="left"/>
    </xf>
    <xf numFmtId="0" fontId="1" fillId="0" borderId="0" xfId="3" applyFont="1" applyAlignment="1">
      <alignment horizontal="center"/>
    </xf>
    <xf numFmtId="0" fontId="2" fillId="0" borderId="0" xfId="0" applyFont="1" applyAlignment="1">
      <alignment horizontal="center"/>
    </xf>
    <xf numFmtId="178" fontId="0" fillId="0" borderId="0" xfId="4" applyNumberFormat="1" applyFont="1"/>
    <xf numFmtId="169" fontId="5" fillId="0" borderId="0" xfId="1" applyNumberFormat="1" applyFont="1" applyBorder="1" applyAlignment="1" applyProtection="1">
      <alignment horizontal="right"/>
      <protection locked="0"/>
    </xf>
    <xf numFmtId="7" fontId="1" fillId="0" borderId="0" xfId="0" applyNumberFormat="1" applyFont="1"/>
    <xf numFmtId="10" fontId="6" fillId="0" borderId="0" xfId="4" applyNumberFormat="1" applyFont="1"/>
    <xf numFmtId="0" fontId="1" fillId="0" borderId="0" xfId="0" applyFont="1" applyBorder="1" applyProtection="1">
      <protection locked="0"/>
    </xf>
    <xf numFmtId="2" fontId="1" fillId="0" borderId="0" xfId="0" applyNumberFormat="1" applyFont="1"/>
    <xf numFmtId="8" fontId="1" fillId="0" borderId="0" xfId="0" applyNumberFormat="1" applyFont="1"/>
    <xf numFmtId="168" fontId="1" fillId="0" borderId="0" xfId="1" applyNumberFormat="1" applyFont="1"/>
    <xf numFmtId="174" fontId="11" fillId="0" borderId="0" xfId="0" applyNumberFormat="1" applyFont="1" applyProtection="1">
      <protection locked="0"/>
    </xf>
    <xf numFmtId="174" fontId="5" fillId="0" borderId="0" xfId="1" applyNumberFormat="1" applyFont="1" applyBorder="1" applyAlignment="1" applyProtection="1">
      <alignment horizontal="right"/>
      <protection locked="0"/>
    </xf>
    <xf numFmtId="174" fontId="6" fillId="0" borderId="0" xfId="0" applyNumberFormat="1" applyFont="1" applyProtection="1">
      <protection locked="0"/>
    </xf>
    <xf numFmtId="174" fontId="9" fillId="0" borderId="0" xfId="0" applyNumberFormat="1" applyFont="1" applyProtection="1">
      <protection locked="0"/>
    </xf>
    <xf numFmtId="1" fontId="4" fillId="0" borderId="0" xfId="0" applyNumberFormat="1" applyFont="1"/>
    <xf numFmtId="6" fontId="1" fillId="0" borderId="0" xfId="0" applyNumberFormat="1" applyFont="1"/>
    <xf numFmtId="165" fontId="1" fillId="0" borderId="0" xfId="0" applyNumberFormat="1" applyFont="1"/>
    <xf numFmtId="165" fontId="3" fillId="0" borderId="1" xfId="0" applyNumberFormat="1" applyFont="1" applyBorder="1" applyProtection="1">
      <protection locked="0"/>
    </xf>
    <xf numFmtId="0" fontId="4" fillId="0" borderId="0" xfId="0" applyFont="1" applyAlignment="1">
      <alignment horizontal="fill"/>
    </xf>
    <xf numFmtId="168" fontId="4" fillId="0" borderId="0" xfId="1" applyNumberFormat="1" applyFont="1"/>
    <xf numFmtId="37" fontId="4" fillId="0" borderId="0" xfId="0" applyNumberFormat="1" applyFont="1" applyProtection="1"/>
    <xf numFmtId="0" fontId="4" fillId="0" borderId="0" xfId="0" quotePrefix="1" applyFont="1" applyAlignment="1" applyProtection="1">
      <alignment horizontal="center"/>
    </xf>
    <xf numFmtId="173" fontId="4" fillId="0" borderId="0" xfId="0" applyNumberFormat="1" applyFont="1" applyProtection="1"/>
    <xf numFmtId="44" fontId="0" fillId="0" borderId="0" xfId="2" applyFont="1"/>
    <xf numFmtId="168" fontId="4" fillId="0" borderId="0" xfId="1" applyNumberFormat="1" applyFont="1" applyAlignment="1" applyProtection="1">
      <alignment horizontal="right"/>
    </xf>
    <xf numFmtId="172" fontId="3" fillId="2" borderId="1" xfId="0" applyNumberFormat="1" applyFont="1" applyFill="1" applyBorder="1" applyProtection="1">
      <protection locked="0"/>
    </xf>
    <xf numFmtId="0" fontId="4" fillId="0" borderId="0" xfId="0" applyFont="1" applyAlignment="1">
      <alignment horizontal="left"/>
    </xf>
    <xf numFmtId="0" fontId="6" fillId="0" borderId="0" xfId="0" applyFont="1" applyFill="1"/>
    <xf numFmtId="0" fontId="13" fillId="0" borderId="0" xfId="0" applyFont="1"/>
    <xf numFmtId="8" fontId="5" fillId="0" borderId="0" xfId="2" applyNumberFormat="1" applyFont="1" applyAlignment="1" applyProtection="1">
      <alignment horizontal="right"/>
      <protection locked="0"/>
    </xf>
    <xf numFmtId="168" fontId="5" fillId="0" borderId="0" xfId="1" applyNumberFormat="1" applyFont="1" applyAlignment="1" applyProtection="1">
      <alignment horizontal="right"/>
      <protection locked="0"/>
    </xf>
    <xf numFmtId="8" fontId="4" fillId="0" borderId="0" xfId="0" applyNumberFormat="1" applyFont="1" applyAlignment="1">
      <alignment horizontal="right"/>
    </xf>
    <xf numFmtId="0" fontId="4" fillId="0" borderId="0" xfId="0" applyFont="1" applyAlignment="1" applyProtection="1">
      <alignment horizontal="center"/>
    </xf>
    <xf numFmtId="0" fontId="4" fillId="0" borderId="0" xfId="0" applyFont="1" applyAlignment="1" applyProtection="1">
      <alignment horizontal="center" vertical="center"/>
      <protection locked="0"/>
    </xf>
    <xf numFmtId="0" fontId="4" fillId="0" borderId="0" xfId="0" applyFont="1" applyAlignment="1">
      <alignment horizontal="center" vertical="center"/>
    </xf>
    <xf numFmtId="0" fontId="4" fillId="0" borderId="0" xfId="0" applyFont="1" applyFill="1" applyBorder="1"/>
    <xf numFmtId="0" fontId="4" fillId="0" borderId="0" xfId="0" applyFont="1" applyFill="1" applyBorder="1" applyAlignment="1">
      <alignment horizontal="center"/>
    </xf>
    <xf numFmtId="0" fontId="14" fillId="0" borderId="0" xfId="0" applyFont="1"/>
    <xf numFmtId="168" fontId="1" fillId="0" borderId="0" xfId="1" applyNumberFormat="1" applyFont="1" applyBorder="1" applyProtection="1">
      <protection locked="0"/>
    </xf>
    <xf numFmtId="169" fontId="6" fillId="0" borderId="0" xfId="0" applyNumberFormat="1" applyFont="1" applyProtection="1"/>
    <xf numFmtId="169" fontId="4" fillId="0" borderId="0" xfId="0" applyNumberFormat="1" applyFont="1" applyProtection="1"/>
    <xf numFmtId="5" fontId="0" fillId="0" borderId="0" xfId="0" applyNumberFormat="1"/>
    <xf numFmtId="9" fontId="0" fillId="0" borderId="0" xfId="4" applyFont="1"/>
    <xf numFmtId="180" fontId="0" fillId="0" borderId="0" xfId="4" applyNumberFormat="1" applyFont="1"/>
    <xf numFmtId="10" fontId="1" fillId="0" borderId="0" xfId="4" applyNumberFormat="1" applyFont="1" applyProtection="1"/>
    <xf numFmtId="1" fontId="1" fillId="0" borderId="0" xfId="0" applyNumberFormat="1" applyFont="1" applyProtection="1">
      <protection locked="0"/>
    </xf>
    <xf numFmtId="179" fontId="1" fillId="0" borderId="0" xfId="0" applyNumberFormat="1" applyFont="1" applyProtection="1">
      <protection locked="0"/>
    </xf>
    <xf numFmtId="1" fontId="1" fillId="0" borderId="0" xfId="0" applyNumberFormat="1" applyFont="1"/>
    <xf numFmtId="43" fontId="1" fillId="0" borderId="0" xfId="1" applyFont="1"/>
    <xf numFmtId="2" fontId="4" fillId="0" borderId="0" xfId="0" applyNumberFormat="1" applyFont="1"/>
    <xf numFmtId="0" fontId="12" fillId="0" borderId="0" xfId="0" applyFont="1"/>
    <xf numFmtId="0" fontId="0" fillId="0" borderId="0" xfId="0" applyAlignment="1"/>
    <xf numFmtId="0" fontId="6" fillId="0" borderId="0" xfId="0" applyFont="1" applyProtection="1">
      <protection locked="0"/>
    </xf>
    <xf numFmtId="0" fontId="18" fillId="0" borderId="0" xfId="0" applyFont="1"/>
    <xf numFmtId="0" fontId="19" fillId="0" borderId="0" xfId="0" applyFont="1" applyAlignment="1">
      <alignment horizontal="center"/>
    </xf>
    <xf numFmtId="7" fontId="18" fillId="0" borderId="0" xfId="0" applyNumberFormat="1" applyFont="1"/>
    <xf numFmtId="0" fontId="18" fillId="0" borderId="0" xfId="0" applyFont="1" applyAlignment="1">
      <alignment horizontal="center"/>
    </xf>
    <xf numFmtId="0" fontId="6" fillId="0" borderId="0" xfId="0" applyFont="1" applyFill="1" applyBorder="1"/>
    <xf numFmtId="171" fontId="6" fillId="0" borderId="0" xfId="0" applyNumberFormat="1" applyFont="1" applyAlignment="1" applyProtection="1">
      <alignment horizontal="center"/>
    </xf>
    <xf numFmtId="176" fontId="4" fillId="2" borderId="0" xfId="1" applyNumberFormat="1" applyFont="1" applyFill="1" applyBorder="1" applyProtection="1"/>
    <xf numFmtId="5" fontId="5" fillId="0" borderId="0" xfId="0" applyNumberFormat="1" applyFont="1" applyBorder="1" applyProtection="1">
      <protection locked="0"/>
    </xf>
    <xf numFmtId="176" fontId="6" fillId="0" borderId="0" xfId="0" applyNumberFormat="1" applyFont="1"/>
    <xf numFmtId="0" fontId="4" fillId="0" borderId="0" xfId="0" applyFont="1" applyAlignment="1">
      <alignment horizontal="right"/>
    </xf>
    <xf numFmtId="0" fontId="5" fillId="0" borderId="2" xfId="0" applyFont="1" applyFill="1" applyBorder="1" applyAlignment="1" applyProtection="1">
      <alignment horizontal="left"/>
      <protection locked="0"/>
    </xf>
    <xf numFmtId="170" fontId="0" fillId="0" borderId="0" xfId="0" applyNumberFormat="1"/>
    <xf numFmtId="0" fontId="6" fillId="0" borderId="0" xfId="0" applyFont="1" applyAlignment="1">
      <alignment horizontal="right"/>
    </xf>
    <xf numFmtId="2" fontId="0" fillId="0" borderId="0" xfId="4" applyNumberFormat="1" applyFont="1"/>
    <xf numFmtId="0" fontId="4" fillId="0" borderId="0" xfId="3" applyFont="1" applyFill="1"/>
    <xf numFmtId="0" fontId="5" fillId="0" borderId="1" xfId="0" applyFont="1" applyBorder="1" applyProtection="1">
      <protection locked="0"/>
    </xf>
    <xf numFmtId="0" fontId="14" fillId="0" borderId="3" xfId="3" applyFont="1" applyBorder="1" applyProtection="1"/>
    <xf numFmtId="0" fontId="14" fillId="0" borderId="4" xfId="3" applyFont="1" applyBorder="1"/>
    <xf numFmtId="0" fontId="14" fillId="0" borderId="0" xfId="3" applyFont="1" applyBorder="1" applyAlignment="1" applyProtection="1">
      <alignment horizontal="left"/>
    </xf>
    <xf numFmtId="0" fontId="14" fillId="0" borderId="0" xfId="3" applyFont="1" applyBorder="1" applyAlignment="1">
      <alignment horizontal="left"/>
    </xf>
    <xf numFmtId="0" fontId="16" fillId="0" borderId="5" xfId="3" applyFont="1" applyBorder="1"/>
    <xf numFmtId="0" fontId="14" fillId="0" borderId="0" xfId="3" applyFont="1" applyBorder="1" applyProtection="1"/>
    <xf numFmtId="165" fontId="4" fillId="0" borderId="6" xfId="0" applyNumberFormat="1" applyFont="1" applyBorder="1" applyProtection="1"/>
    <xf numFmtId="0" fontId="0" fillId="0" borderId="5" xfId="0" applyBorder="1"/>
    <xf numFmtId="0" fontId="14" fillId="0" borderId="0" xfId="0" applyFont="1" applyBorder="1"/>
    <xf numFmtId="168" fontId="4" fillId="0" borderId="7" xfId="1" applyNumberFormat="1" applyFont="1" applyBorder="1" applyProtection="1"/>
    <xf numFmtId="1" fontId="14" fillId="0" borderId="0" xfId="3" applyNumberFormat="1" applyFont="1" applyBorder="1" applyProtection="1"/>
    <xf numFmtId="0" fontId="14" fillId="0" borderId="5" xfId="3" applyFont="1" applyBorder="1" applyProtection="1"/>
    <xf numFmtId="0" fontId="0" fillId="0" borderId="8" xfId="0" applyBorder="1"/>
    <xf numFmtId="8" fontId="6" fillId="0" borderId="9" xfId="3" applyNumberFormat="1" applyFont="1" applyBorder="1" applyProtection="1"/>
    <xf numFmtId="170" fontId="6" fillId="0" borderId="0" xfId="0" applyNumberFormat="1" applyFont="1"/>
    <xf numFmtId="0" fontId="6" fillId="0" borderId="10" xfId="3" applyFont="1" applyFill="1" applyBorder="1"/>
    <xf numFmtId="0" fontId="7" fillId="0" borderId="10" xfId="3" applyFont="1" applyFill="1" applyBorder="1"/>
    <xf numFmtId="0" fontId="14" fillId="0" borderId="4" xfId="3" applyFont="1" applyBorder="1" applyProtection="1"/>
    <xf numFmtId="0" fontId="14" fillId="0" borderId="5" xfId="3" applyFont="1" applyBorder="1" applyAlignment="1" applyProtection="1">
      <alignment horizontal="left"/>
    </xf>
    <xf numFmtId="0" fontId="16" fillId="0" borderId="5" xfId="3" applyFont="1" applyBorder="1" applyProtection="1"/>
    <xf numFmtId="0" fontId="14" fillId="0" borderId="8" xfId="3" applyFont="1" applyBorder="1" applyAlignment="1">
      <alignment horizontal="left"/>
    </xf>
    <xf numFmtId="179" fontId="9" fillId="0" borderId="0" xfId="0" applyNumberFormat="1" applyFont="1" applyBorder="1" applyAlignment="1" applyProtection="1">
      <alignment horizontal="left"/>
      <protection locked="0"/>
    </xf>
    <xf numFmtId="5" fontId="1" fillId="0" borderId="0" xfId="1" applyNumberFormat="1" applyFont="1" applyFill="1" applyBorder="1" applyProtection="1">
      <protection locked="0"/>
    </xf>
    <xf numFmtId="8" fontId="1" fillId="0" borderId="0" xfId="0" applyNumberFormat="1" applyFont="1" applyAlignment="1">
      <alignment horizontal="right"/>
    </xf>
    <xf numFmtId="0" fontId="1" fillId="0" borderId="0" xfId="0" applyFont="1" applyBorder="1" applyAlignment="1" applyProtection="1">
      <alignment horizontal="left"/>
    </xf>
    <xf numFmtId="0" fontId="0" fillId="0" borderId="0" xfId="0" applyProtection="1"/>
    <xf numFmtId="10" fontId="1" fillId="0" borderId="0" xfId="0" applyNumberFormat="1" applyFont="1" applyBorder="1" applyAlignment="1" applyProtection="1">
      <alignment horizontal="left"/>
    </xf>
    <xf numFmtId="0" fontId="1" fillId="0" borderId="0" xfId="0" applyFont="1" applyBorder="1" applyProtection="1"/>
    <xf numFmtId="174" fontId="0" fillId="0" borderId="0" xfId="0" applyNumberFormat="1"/>
    <xf numFmtId="180" fontId="4" fillId="0" borderId="0" xfId="3" applyNumberFormat="1" applyFont="1" applyBorder="1" applyProtection="1"/>
    <xf numFmtId="0" fontId="8" fillId="0" borderId="0" xfId="0" applyFont="1"/>
    <xf numFmtId="5" fontId="0" fillId="0" borderId="0" xfId="0" applyNumberFormat="1" applyProtection="1"/>
    <xf numFmtId="44" fontId="0" fillId="0" borderId="0" xfId="0" applyNumberFormat="1"/>
    <xf numFmtId="5" fontId="6" fillId="0" borderId="0" xfId="0" applyNumberFormat="1" applyFont="1"/>
    <xf numFmtId="5" fontId="6" fillId="0" borderId="0" xfId="0" quotePrefix="1" applyNumberFormat="1" applyFont="1"/>
    <xf numFmtId="0" fontId="6" fillId="3" borderId="0" xfId="0" applyFont="1" applyFill="1" applyAlignment="1">
      <alignment horizontal="center"/>
    </xf>
    <xf numFmtId="0" fontId="4" fillId="3" borderId="0" xfId="0" applyFont="1" applyFill="1" applyAlignment="1">
      <alignment horizontal="center"/>
    </xf>
    <xf numFmtId="169" fontId="6" fillId="3" borderId="0" xfId="0" applyNumberFormat="1" applyFont="1" applyFill="1"/>
    <xf numFmtId="0" fontId="6" fillId="3" borderId="0" xfId="0" applyFont="1" applyFill="1"/>
    <xf numFmtId="0" fontId="0" fillId="3" borderId="0" xfId="0" applyFill="1"/>
    <xf numFmtId="179" fontId="4" fillId="0" borderId="0" xfId="0" applyNumberFormat="1" applyFont="1" applyAlignment="1" applyProtection="1">
      <alignment horizontal="left"/>
    </xf>
    <xf numFmtId="0" fontId="12" fillId="3" borderId="0" xfId="0" applyFont="1" applyFill="1" applyAlignment="1">
      <alignment horizontal="center"/>
    </xf>
    <xf numFmtId="166" fontId="6" fillId="3" borderId="0" xfId="0" applyNumberFormat="1" applyFont="1" applyFill="1"/>
    <xf numFmtId="170" fontId="6" fillId="3" borderId="0" xfId="0" applyNumberFormat="1" applyFont="1" applyFill="1"/>
    <xf numFmtId="176" fontId="6" fillId="3" borderId="0" xfId="0" applyNumberFormat="1" applyFont="1" applyFill="1" applyAlignment="1">
      <alignment horizontal="right"/>
    </xf>
    <xf numFmtId="0" fontId="4" fillId="3" borderId="0" xfId="0" applyFont="1" applyFill="1"/>
    <xf numFmtId="176" fontId="6" fillId="4" borderId="0" xfId="1" applyNumberFormat="1" applyFont="1" applyFill="1" applyBorder="1" applyProtection="1"/>
    <xf numFmtId="0" fontId="6" fillId="3" borderId="0" xfId="0" applyFont="1" applyFill="1" applyProtection="1">
      <protection locked="0"/>
    </xf>
    <xf numFmtId="176" fontId="6" fillId="3" borderId="0" xfId="0" applyNumberFormat="1" applyFont="1" applyFill="1"/>
    <xf numFmtId="5" fontId="6" fillId="3" borderId="0" xfId="0" applyNumberFormat="1" applyFont="1" applyFill="1"/>
    <xf numFmtId="7" fontId="6" fillId="3" borderId="0" xfId="0" applyNumberFormat="1" applyFont="1" applyFill="1"/>
    <xf numFmtId="7" fontId="6" fillId="3" borderId="0" xfId="0" applyNumberFormat="1" applyFont="1" applyFill="1" applyProtection="1"/>
    <xf numFmtId="5" fontId="6" fillId="3" borderId="0" xfId="0" applyNumberFormat="1" applyFont="1" applyFill="1" applyProtection="1"/>
    <xf numFmtId="178" fontId="6" fillId="3" borderId="0" xfId="4" applyNumberFormat="1" applyFont="1" applyFill="1"/>
    <xf numFmtId="169" fontId="6" fillId="3" borderId="0" xfId="0" applyNumberFormat="1" applyFont="1" applyFill="1" applyProtection="1"/>
    <xf numFmtId="0" fontId="0" fillId="5" borderId="0" xfId="0" applyFill="1" applyAlignment="1">
      <alignment horizontal="center"/>
    </xf>
    <xf numFmtId="8" fontId="6" fillId="5" borderId="0" xfId="0" applyNumberFormat="1" applyFont="1" applyFill="1"/>
    <xf numFmtId="0" fontId="6" fillId="5" borderId="0" xfId="3" applyFont="1" applyFill="1"/>
    <xf numFmtId="0" fontId="4" fillId="5" borderId="0" xfId="0" applyFont="1" applyFill="1" applyAlignment="1">
      <alignment horizontal="center"/>
    </xf>
    <xf numFmtId="0" fontId="6" fillId="5" borderId="0" xfId="0" applyFont="1" applyFill="1" applyAlignment="1">
      <alignment horizontal="center"/>
    </xf>
    <xf numFmtId="169" fontId="6" fillId="5" borderId="0" xfId="0" applyNumberFormat="1" applyFont="1" applyFill="1"/>
    <xf numFmtId="0" fontId="6" fillId="5" borderId="0" xfId="3" applyFont="1" applyFill="1" applyAlignment="1">
      <alignment horizontal="center"/>
    </xf>
    <xf numFmtId="178" fontId="6" fillId="5" borderId="0" xfId="0" applyNumberFormat="1" applyFont="1" applyFill="1"/>
    <xf numFmtId="0" fontId="6" fillId="5" borderId="0" xfId="0" applyFont="1" applyFill="1"/>
    <xf numFmtId="0" fontId="7" fillId="5" borderId="0" xfId="0" applyFont="1" applyFill="1" applyAlignment="1">
      <alignment horizontal="center"/>
    </xf>
    <xf numFmtId="15" fontId="0" fillId="0" borderId="0" xfId="0" applyNumberFormat="1" applyAlignment="1">
      <alignment horizontal="left"/>
    </xf>
    <xf numFmtId="0" fontId="4" fillId="0" borderId="0" xfId="0" applyFont="1" applyBorder="1" applyAlignment="1" applyProtection="1">
      <alignment horizontal="left"/>
    </xf>
    <xf numFmtId="167" fontId="1" fillId="0" borderId="0" xfId="1" applyNumberFormat="1" applyFont="1" applyFill="1" applyBorder="1" applyProtection="1"/>
    <xf numFmtId="6" fontId="6" fillId="0" borderId="0" xfId="3" applyNumberFormat="1" applyFont="1" applyBorder="1" applyAlignment="1" applyProtection="1">
      <alignment horizontal="right"/>
    </xf>
    <xf numFmtId="168" fontId="3" fillId="0" borderId="2" xfId="1" applyNumberFormat="1" applyFont="1" applyBorder="1" applyProtection="1">
      <protection locked="0"/>
    </xf>
    <xf numFmtId="170" fontId="5" fillId="0" borderId="2" xfId="0" applyNumberFormat="1" applyFont="1" applyBorder="1" applyProtection="1">
      <protection locked="0"/>
    </xf>
    <xf numFmtId="168" fontId="21" fillId="0" borderId="2" xfId="1" applyNumberFormat="1" applyFont="1" applyBorder="1" applyAlignment="1" applyProtection="1">
      <alignment horizontal="right"/>
      <protection locked="0"/>
    </xf>
    <xf numFmtId="174" fontId="22" fillId="0" borderId="9" xfId="0" applyNumberFormat="1" applyFont="1" applyBorder="1"/>
    <xf numFmtId="0" fontId="4" fillId="0" borderId="11" xfId="0" applyFont="1" applyBorder="1"/>
    <xf numFmtId="1" fontId="0" fillId="0" borderId="0" xfId="0" applyNumberFormat="1"/>
    <xf numFmtId="168" fontId="1" fillId="0" borderId="0" xfId="1" applyNumberFormat="1" applyFont="1" applyBorder="1" applyProtection="1"/>
    <xf numFmtId="43" fontId="6" fillId="5" borderId="0" xfId="1" applyNumberFormat="1" applyFont="1" applyFill="1" applyBorder="1" applyProtection="1"/>
    <xf numFmtId="10" fontId="1" fillId="0" borderId="0" xfId="4" applyNumberFormat="1" applyFont="1" applyBorder="1" applyProtection="1"/>
    <xf numFmtId="179" fontId="1" fillId="0" borderId="0" xfId="0" applyNumberFormat="1" applyFont="1" applyFill="1" applyBorder="1" applyProtection="1"/>
    <xf numFmtId="1" fontId="1" fillId="0" borderId="0" xfId="0" applyNumberFormat="1" applyFont="1" applyBorder="1" applyProtection="1"/>
    <xf numFmtId="168" fontId="1" fillId="0" borderId="0" xfId="0" applyNumberFormat="1" applyFont="1" applyProtection="1"/>
    <xf numFmtId="43" fontId="6" fillId="5" borderId="0" xfId="0" applyNumberFormat="1" applyFont="1" applyFill="1" applyProtection="1"/>
    <xf numFmtId="0" fontId="4" fillId="5" borderId="0" xfId="0" applyFont="1" applyFill="1"/>
    <xf numFmtId="170" fontId="5" fillId="0" borderId="0" xfId="0" applyNumberFormat="1" applyFont="1" applyProtection="1">
      <protection locked="0"/>
    </xf>
    <xf numFmtId="172" fontId="6" fillId="0" borderId="0" xfId="0" applyNumberFormat="1" applyFont="1" applyBorder="1" applyProtection="1"/>
    <xf numFmtId="0" fontId="22"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4" fillId="0" borderId="0" xfId="0" applyFont="1" applyFill="1" applyBorder="1" applyAlignment="1">
      <alignment horizontal="right"/>
    </xf>
    <xf numFmtId="168" fontId="4" fillId="0" borderId="0" xfId="1" applyNumberFormat="1" applyFont="1" applyBorder="1" applyAlignment="1" applyProtection="1">
      <alignment horizontal="left"/>
    </xf>
    <xf numFmtId="2" fontId="4" fillId="0" borderId="0" xfId="0" applyNumberFormat="1" applyFont="1" applyBorder="1" applyAlignment="1" applyProtection="1">
      <alignment horizontal="right"/>
    </xf>
    <xf numFmtId="168" fontId="5" fillId="0" borderId="2" xfId="1" applyNumberFormat="1" applyFont="1" applyBorder="1" applyAlignment="1" applyProtection="1">
      <alignment horizontal="right"/>
      <protection locked="0"/>
    </xf>
    <xf numFmtId="179" fontId="9" fillId="0" borderId="2" xfId="0" applyNumberFormat="1" applyFont="1" applyBorder="1" applyAlignment="1" applyProtection="1">
      <alignment horizontal="right"/>
      <protection locked="0"/>
    </xf>
    <xf numFmtId="43" fontId="4" fillId="0" borderId="0" xfId="1" applyNumberFormat="1" applyFont="1" applyBorder="1" applyAlignment="1" applyProtection="1">
      <alignment horizontal="left"/>
    </xf>
    <xf numFmtId="179" fontId="4" fillId="0" borderId="0" xfId="0" applyNumberFormat="1" applyFont="1" applyBorder="1" applyAlignment="1" applyProtection="1">
      <alignment horizontal="right"/>
      <protection locked="0"/>
    </xf>
    <xf numFmtId="168" fontId="3" fillId="0" borderId="14" xfId="1" applyNumberFormat="1" applyFont="1" applyBorder="1" applyAlignment="1" applyProtection="1">
      <alignment horizontal="right"/>
      <protection locked="0"/>
    </xf>
    <xf numFmtId="165" fontId="4" fillId="0" borderId="0" xfId="0" applyNumberFormat="1" applyFont="1" applyBorder="1" applyProtection="1"/>
    <xf numFmtId="15" fontId="4" fillId="2" borderId="0" xfId="0" applyNumberFormat="1" applyFont="1" applyFill="1" applyBorder="1" applyProtection="1"/>
    <xf numFmtId="168" fontId="4" fillId="0" borderId="0" xfId="1" applyNumberFormat="1" applyFont="1" applyBorder="1" applyProtection="1"/>
    <xf numFmtId="164" fontId="4" fillId="2" borderId="0" xfId="0" applyNumberFormat="1" applyFont="1" applyFill="1" applyBorder="1" applyProtection="1"/>
    <xf numFmtId="168" fontId="4" fillId="2" borderId="0" xfId="1" applyNumberFormat="1" applyFont="1" applyFill="1" applyBorder="1" applyProtection="1"/>
    <xf numFmtId="0" fontId="23" fillId="0" borderId="0" xfId="0" applyFont="1" applyProtection="1">
      <protection locked="0"/>
    </xf>
    <xf numFmtId="8" fontId="4" fillId="0" borderId="0" xfId="0" applyNumberFormat="1" applyFont="1"/>
    <xf numFmtId="0" fontId="6" fillId="0" borderId="0" xfId="3" applyFont="1" applyFill="1"/>
    <xf numFmtId="8" fontId="6" fillId="0" borderId="0" xfId="0" applyNumberFormat="1" applyFont="1" applyFill="1"/>
    <xf numFmtId="0" fontId="4" fillId="0" borderId="0" xfId="3" applyFont="1" applyFill="1" applyAlignment="1">
      <alignment horizontal="left"/>
    </xf>
    <xf numFmtId="178" fontId="6" fillId="0" borderId="0" xfId="0" applyNumberFormat="1" applyFont="1"/>
    <xf numFmtId="177" fontId="0" fillId="0" borderId="0" xfId="0" applyNumberFormat="1"/>
    <xf numFmtId="0" fontId="6" fillId="0" borderId="0" xfId="0" applyFont="1" applyAlignment="1" applyProtection="1">
      <alignment horizontal="center" vertical="center"/>
      <protection locked="0"/>
    </xf>
    <xf numFmtId="173" fontId="6" fillId="0" borderId="0" xfId="0" applyNumberFormat="1" applyFont="1" applyProtection="1"/>
    <xf numFmtId="5" fontId="6" fillId="0" borderId="0" xfId="0" applyNumberFormat="1" applyFont="1" applyBorder="1" applyProtection="1"/>
    <xf numFmtId="0" fontId="2" fillId="0" borderId="0" xfId="0" applyFont="1" applyAlignment="1">
      <alignment horizontal="center"/>
    </xf>
    <xf numFmtId="0" fontId="0" fillId="0" borderId="0" xfId="0" applyAlignment="1">
      <alignment horizontal="center"/>
    </xf>
    <xf numFmtId="0" fontId="6" fillId="0" borderId="0" xfId="0" applyFont="1" applyAlignment="1">
      <alignment horizontal="center"/>
    </xf>
    <xf numFmtId="7" fontId="1" fillId="0" borderId="0" xfId="0" applyNumberFormat="1" applyFont="1" applyProtection="1"/>
    <xf numFmtId="178" fontId="1" fillId="0" borderId="0" xfId="0" applyNumberFormat="1" applyFont="1" applyProtection="1"/>
    <xf numFmtId="5" fontId="1" fillId="0" borderId="0" xfId="0" applyNumberFormat="1" applyFont="1" applyProtection="1"/>
    <xf numFmtId="5" fontId="6" fillId="5" borderId="0" xfId="0" applyNumberFormat="1" applyFont="1" applyFill="1" applyProtection="1"/>
    <xf numFmtId="0" fontId="1" fillId="0" borderId="0" xfId="0" applyFont="1" applyFill="1" applyBorder="1" applyAlignment="1">
      <alignment horizontal="right"/>
    </xf>
    <xf numFmtId="0" fontId="1" fillId="5" borderId="0" xfId="0" applyFont="1" applyFill="1" applyAlignment="1">
      <alignment horizontal="center"/>
    </xf>
    <xf numFmtId="8" fontId="6" fillId="3" borderId="0" xfId="0" applyNumberFormat="1" applyFont="1" applyFill="1" applyProtection="1"/>
    <xf numFmtId="8" fontId="6" fillId="0" borderId="0" xfId="0" applyNumberFormat="1" applyFont="1" applyProtection="1"/>
    <xf numFmtId="8" fontId="5" fillId="0" borderId="0" xfId="0" quotePrefix="1" applyNumberFormat="1" applyFont="1" applyProtection="1">
      <protection locked="0"/>
    </xf>
    <xf numFmtId="0" fontId="17" fillId="0" borderId="0" xfId="0" applyFont="1" applyAlignment="1">
      <alignment horizontal="center"/>
    </xf>
    <xf numFmtId="168" fontId="0" fillId="0" borderId="0" xfId="1" applyNumberFormat="1" applyFont="1"/>
    <xf numFmtId="1" fontId="1" fillId="0" borderId="0" xfId="0" quotePrefix="1" applyNumberFormat="1" applyFont="1" applyFill="1" applyBorder="1" applyProtection="1"/>
    <xf numFmtId="165" fontId="1" fillId="0" borderId="0" xfId="0" applyNumberFormat="1" applyFont="1" applyFill="1" applyBorder="1" applyProtection="1"/>
    <xf numFmtId="0" fontId="1" fillId="0" borderId="0" xfId="0" applyFont="1" applyAlignment="1">
      <alignment horizontal="left"/>
    </xf>
    <xf numFmtId="0" fontId="1" fillId="0" borderId="0" xfId="0" applyFont="1" applyFill="1" applyBorder="1" applyAlignment="1" applyProtection="1">
      <alignment horizontal="left"/>
    </xf>
    <xf numFmtId="170" fontId="6" fillId="0" borderId="0" xfId="0" applyNumberFormat="1" applyFont="1" applyProtection="1"/>
    <xf numFmtId="169" fontId="4" fillId="0" borderId="0" xfId="0" applyNumberFormat="1" applyFont="1" applyAlignment="1">
      <alignment horizontal="center"/>
    </xf>
    <xf numFmtId="182" fontId="6" fillId="5" borderId="0" xfId="0" applyNumberFormat="1" applyFont="1" applyFill="1"/>
    <xf numFmtId="181" fontId="6" fillId="5" borderId="0" xfId="0" applyNumberFormat="1" applyFont="1" applyFill="1" applyProtection="1"/>
    <xf numFmtId="180" fontId="6" fillId="5" borderId="0" xfId="0" applyNumberFormat="1" applyFont="1" applyFill="1"/>
    <xf numFmtId="165" fontId="6" fillId="2" borderId="0" xfId="0" applyNumberFormat="1" applyFont="1" applyFill="1" applyBorder="1" applyProtection="1"/>
    <xf numFmtId="183" fontId="0" fillId="0" borderId="0" xfId="0" applyNumberFormat="1"/>
    <xf numFmtId="181" fontId="4" fillId="0" borderId="0" xfId="0" applyNumberFormat="1" applyFont="1" applyProtection="1"/>
    <xf numFmtId="172" fontId="4" fillId="0" borderId="0" xfId="0" applyNumberFormat="1" applyFont="1" applyProtection="1"/>
    <xf numFmtId="8" fontId="0" fillId="0" borderId="0" xfId="0" applyNumberFormat="1"/>
    <xf numFmtId="184" fontId="24" fillId="0" borderId="0" xfId="0" applyNumberFormat="1" applyFont="1"/>
    <xf numFmtId="176" fontId="4" fillId="0" borderId="0" xfId="0" applyNumberFormat="1" applyFont="1" applyAlignment="1">
      <alignment horizontal="center"/>
    </xf>
    <xf numFmtId="0" fontId="25" fillId="0" borderId="0" xfId="0" applyFont="1" applyProtection="1">
      <protection locked="0"/>
    </xf>
    <xf numFmtId="0" fontId="26" fillId="0" borderId="0" xfId="0" applyFont="1"/>
    <xf numFmtId="178" fontId="27" fillId="0" borderId="0" xfId="4" applyNumberFormat="1" applyFont="1" applyProtection="1">
      <protection locked="0"/>
    </xf>
    <xf numFmtId="9" fontId="27" fillId="0" borderId="0" xfId="4" applyFont="1" applyProtection="1">
      <protection locked="0"/>
    </xf>
    <xf numFmtId="182" fontId="24" fillId="0" borderId="0" xfId="0" applyNumberFormat="1" applyFont="1"/>
    <xf numFmtId="169" fontId="4" fillId="0" borderId="0" xfId="3" applyNumberFormat="1" applyFont="1" applyProtection="1">
      <protection locked="0"/>
    </xf>
    <xf numFmtId="0" fontId="25" fillId="0" borderId="0" xfId="0" applyFont="1"/>
    <xf numFmtId="178" fontId="25" fillId="0" borderId="0" xfId="4" applyNumberFormat="1" applyFont="1"/>
    <xf numFmtId="0" fontId="6" fillId="0" borderId="0" xfId="0" applyFont="1" applyAlignment="1">
      <alignment horizontal="center"/>
    </xf>
    <xf numFmtId="177" fontId="4" fillId="0" borderId="0" xfId="0" applyNumberFormat="1" applyFont="1"/>
    <xf numFmtId="170" fontId="6" fillId="0" borderId="0" xfId="4" applyNumberFormat="1" applyFont="1"/>
    <xf numFmtId="0" fontId="5" fillId="0" borderId="14" xfId="0" applyFont="1" applyBorder="1" applyProtection="1">
      <protection locked="0"/>
    </xf>
    <xf numFmtId="185" fontId="1" fillId="0" borderId="0" xfId="1" applyNumberFormat="1" applyFont="1" applyBorder="1" applyProtection="1"/>
    <xf numFmtId="43" fontId="0" fillId="0" borderId="0" xfId="0" applyNumberFormat="1"/>
    <xf numFmtId="1" fontId="6" fillId="0" borderId="0" xfId="0" applyNumberFormat="1" applyFont="1"/>
    <xf numFmtId="44" fontId="6" fillId="0" borderId="0" xfId="2" applyFont="1"/>
    <xf numFmtId="1" fontId="6" fillId="0" borderId="0" xfId="0" applyNumberFormat="1" applyFont="1" applyAlignment="1">
      <alignment horizontal="right"/>
    </xf>
    <xf numFmtId="168" fontId="6" fillId="0" borderId="0" xfId="0" applyNumberFormat="1" applyFont="1" applyAlignment="1">
      <alignment horizontal="center"/>
    </xf>
    <xf numFmtId="184" fontId="0" fillId="0" borderId="0" xfId="0" applyNumberFormat="1"/>
    <xf numFmtId="178" fontId="24" fillId="0" borderId="0" xfId="4" applyNumberFormat="1" applyFont="1"/>
    <xf numFmtId="0" fontId="31" fillId="0" borderId="0" xfId="0" applyFont="1" applyAlignment="1">
      <alignment horizontal="center"/>
    </xf>
    <xf numFmtId="0" fontId="32" fillId="0" borderId="0" xfId="0" applyFont="1"/>
    <xf numFmtId="0" fontId="31" fillId="0" borderId="0" xfId="0" applyFont="1" applyAlignment="1">
      <alignment vertical="center" wrapText="1"/>
    </xf>
    <xf numFmtId="0" fontId="33" fillId="0" borderId="0" xfId="0" applyFont="1" applyAlignment="1">
      <alignment wrapText="1"/>
    </xf>
    <xf numFmtId="0" fontId="29" fillId="0" borderId="0" xfId="0" applyFont="1" applyAlignment="1">
      <alignment wrapText="1"/>
    </xf>
    <xf numFmtId="0" fontId="6" fillId="0" borderId="0" xfId="0" applyFont="1" applyAlignment="1">
      <alignment horizontal="center"/>
    </xf>
    <xf numFmtId="165" fontId="6" fillId="0" borderId="0" xfId="0" applyNumberFormat="1" applyFont="1"/>
    <xf numFmtId="171" fontId="1" fillId="2" borderId="0" xfId="0" applyNumberFormat="1" applyFont="1" applyFill="1" applyBorder="1" applyProtection="1"/>
    <xf numFmtId="168" fontId="5" fillId="0" borderId="0" xfId="1" applyNumberFormat="1" applyFont="1" applyBorder="1" applyAlignment="1" applyProtection="1">
      <alignment horizontal="left"/>
      <protection locked="0"/>
    </xf>
    <xf numFmtId="178" fontId="25" fillId="0" borderId="0" xfId="4" applyNumberFormat="1" applyFont="1" applyProtection="1">
      <protection locked="0"/>
    </xf>
    <xf numFmtId="0" fontId="1" fillId="0" borderId="0" xfId="0" applyFont="1" applyProtection="1"/>
    <xf numFmtId="165" fontId="1" fillId="0" borderId="0" xfId="0" applyNumberFormat="1" applyFont="1" applyProtection="1"/>
    <xf numFmtId="178" fontId="1" fillId="0" borderId="0" xfId="4" applyNumberFormat="1" applyFont="1" applyProtection="1"/>
    <xf numFmtId="0" fontId="1" fillId="0" borderId="0" xfId="0" applyFont="1" applyAlignment="1">
      <alignment horizontal="right"/>
    </xf>
    <xf numFmtId="179" fontId="9" fillId="0" borderId="17" xfId="0" applyNumberFormat="1" applyFont="1" applyBorder="1" applyAlignment="1" applyProtection="1">
      <alignment horizontal="right"/>
      <protection locked="0"/>
    </xf>
    <xf numFmtId="0" fontId="16" fillId="0" borderId="0" xfId="0" applyFont="1"/>
    <xf numFmtId="1" fontId="1" fillId="2" borderId="0" xfId="1" applyNumberFormat="1" applyFont="1" applyFill="1" applyBorder="1" applyProtection="1"/>
    <xf numFmtId="0" fontId="8" fillId="0" borderId="0" xfId="0" applyFont="1" applyProtection="1">
      <protection locked="0"/>
    </xf>
    <xf numFmtId="1" fontId="5" fillId="0" borderId="18" xfId="1" applyNumberFormat="1" applyFont="1" applyBorder="1" applyAlignment="1" applyProtection="1">
      <alignment horizontal="right"/>
      <protection locked="0"/>
    </xf>
    <xf numFmtId="5" fontId="6" fillId="5" borderId="0" xfId="0" applyNumberFormat="1" applyFont="1" applyFill="1" applyBorder="1" applyProtection="1"/>
    <xf numFmtId="7" fontId="6" fillId="5" borderId="0" xfId="0" applyNumberFormat="1" applyFont="1" applyFill="1" applyProtection="1"/>
    <xf numFmtId="168" fontId="6" fillId="0" borderId="0" xfId="1" quotePrefix="1" applyNumberFormat="1" applyFont="1" applyBorder="1" applyProtection="1"/>
    <xf numFmtId="170" fontId="1" fillId="0" borderId="0" xfId="0" applyNumberFormat="1" applyFont="1"/>
    <xf numFmtId="0" fontId="1" fillId="0" borderId="0" xfId="3" applyFont="1" applyProtection="1">
      <protection locked="0"/>
    </xf>
    <xf numFmtId="181" fontId="1" fillId="0" borderId="0" xfId="0" applyNumberFormat="1" applyFont="1"/>
    <xf numFmtId="0" fontId="27" fillId="0" borderId="2" xfId="0" quotePrefix="1" applyFont="1" applyBorder="1" applyAlignment="1" applyProtection="1">
      <alignment horizontal="right"/>
      <protection locked="0"/>
    </xf>
    <xf numFmtId="168" fontId="3" fillId="0" borderId="1" xfId="1" applyNumberFormat="1" applyFont="1" applyBorder="1" applyProtection="1">
      <protection locked="0"/>
    </xf>
    <xf numFmtId="179" fontId="9" fillId="0" borderId="17" xfId="0" applyNumberFormat="1" applyFont="1" applyBorder="1" applyAlignment="1" applyProtection="1">
      <alignment horizontal="right"/>
    </xf>
    <xf numFmtId="0" fontId="27" fillId="0" borderId="0" xfId="0" applyFont="1" applyProtection="1">
      <protection locked="0"/>
    </xf>
    <xf numFmtId="168" fontId="25" fillId="0" borderId="0" xfId="1" applyNumberFormat="1" applyFont="1" applyProtection="1">
      <protection locked="0"/>
    </xf>
    <xf numFmtId="170" fontId="25" fillId="0" borderId="0" xfId="0" applyNumberFormat="1" applyFont="1" applyProtection="1">
      <protection locked="0"/>
    </xf>
    <xf numFmtId="178" fontId="1" fillId="0" borderId="0" xfId="4" applyNumberFormat="1"/>
    <xf numFmtId="178" fontId="6" fillId="0" borderId="0" xfId="4" applyNumberFormat="1" applyFont="1"/>
    <xf numFmtId="8" fontId="27" fillId="0" borderId="0" xfId="0" applyNumberFormat="1" applyFont="1" applyProtection="1">
      <protection locked="0"/>
    </xf>
    <xf numFmtId="168" fontId="1" fillId="0" borderId="0" xfId="1" applyNumberFormat="1" applyFont="1" applyProtection="1"/>
    <xf numFmtId="8" fontId="0" fillId="0" borderId="0" xfId="0" applyNumberFormat="1" applyProtection="1">
      <protection locked="0"/>
    </xf>
    <xf numFmtId="2" fontId="6" fillId="0" borderId="0" xfId="0" applyNumberFormat="1" applyFont="1" applyBorder="1" applyProtection="1"/>
    <xf numFmtId="0" fontId="0" fillId="0" borderId="0" xfId="0" applyAlignment="1">
      <alignment horizontal="center"/>
    </xf>
    <xf numFmtId="0" fontId="0" fillId="0" borderId="0" xfId="0" applyFill="1"/>
    <xf numFmtId="0" fontId="35" fillId="6" borderId="22" xfId="0" applyFont="1" applyFill="1" applyBorder="1" applyProtection="1">
      <protection locked="0"/>
    </xf>
    <xf numFmtId="0" fontId="6" fillId="0" borderId="0" xfId="3" applyFont="1" applyFill="1" applyAlignment="1">
      <alignment horizontal="center"/>
    </xf>
    <xf numFmtId="178" fontId="6" fillId="0" borderId="0" xfId="0" applyNumberFormat="1" applyFont="1" applyFill="1"/>
    <xf numFmtId="9" fontId="6" fillId="5" borderId="0" xfId="4" applyFont="1" applyFill="1"/>
    <xf numFmtId="9" fontId="6" fillId="5" borderId="0" xfId="4" applyFont="1" applyFill="1" applyAlignment="1">
      <alignment horizontal="center"/>
    </xf>
    <xf numFmtId="0" fontId="30" fillId="0" borderId="0" xfId="0" applyFont="1" applyAlignment="1">
      <alignment vertical="center" wrapText="1"/>
    </xf>
    <xf numFmtId="0" fontId="2" fillId="0" borderId="0" xfId="0" applyFont="1" applyAlignment="1">
      <alignment horizontal="center"/>
    </xf>
    <xf numFmtId="0" fontId="17" fillId="0" borderId="0" xfId="0" applyFont="1" applyAlignment="1">
      <alignment horizontal="center"/>
    </xf>
    <xf numFmtId="0" fontId="27" fillId="0" borderId="12" xfId="0" applyFont="1" applyBorder="1" applyAlignment="1" applyProtection="1">
      <alignment horizontal="left"/>
      <protection locked="0"/>
    </xf>
    <xf numFmtId="0" fontId="27" fillId="0" borderId="8"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5" fillId="0" borderId="12" xfId="0" applyFont="1" applyFill="1" applyBorder="1" applyAlignment="1" applyProtection="1">
      <alignment horizontal="left"/>
      <protection locked="0"/>
    </xf>
    <xf numFmtId="0" fontId="28" fillId="0" borderId="15" xfId="0" applyFont="1" applyBorder="1" applyAlignment="1" applyProtection="1">
      <protection locked="0"/>
    </xf>
    <xf numFmtId="0" fontId="0" fillId="0" borderId="16" xfId="0" applyBorder="1" applyAlignment="1" applyProtection="1">
      <protection locked="0"/>
    </xf>
    <xf numFmtId="0" fontId="0" fillId="0" borderId="0" xfId="0" applyAlignment="1">
      <alignment horizontal="center"/>
    </xf>
    <xf numFmtId="0" fontId="4" fillId="0" borderId="0" xfId="0" applyFont="1" applyAlignment="1" applyProtection="1">
      <alignment horizontal="left"/>
    </xf>
    <xf numFmtId="0" fontId="0" fillId="0" borderId="0" xfId="0" applyAlignment="1" applyProtection="1"/>
    <xf numFmtId="0" fontId="4" fillId="0" borderId="0" xfId="0" applyFont="1" applyAlignment="1">
      <alignment horizontal="left"/>
    </xf>
    <xf numFmtId="0" fontId="0" fillId="0" borderId="0" xfId="0" applyAlignment="1">
      <alignment horizontal="left"/>
    </xf>
    <xf numFmtId="0" fontId="0" fillId="0" borderId="0" xfId="0" applyAlignment="1" applyProtection="1">
      <alignment horizontal="left"/>
    </xf>
    <xf numFmtId="0" fontId="6" fillId="0" borderId="0" xfId="0" applyFont="1" applyAlignment="1">
      <alignment horizontal="center"/>
    </xf>
    <xf numFmtId="0" fontId="34" fillId="0" borderId="19" xfId="0" applyFont="1" applyBorder="1" applyAlignment="1" applyProtection="1">
      <protection locked="0"/>
    </xf>
    <xf numFmtId="0" fontId="34" fillId="0" borderId="20" xfId="0" applyFont="1" applyBorder="1" applyAlignment="1" applyProtection="1">
      <protection locked="0"/>
    </xf>
    <xf numFmtId="0" fontId="34" fillId="0" borderId="21" xfId="0" applyFont="1" applyBorder="1" applyAlignment="1" applyProtection="1">
      <protection locked="0"/>
    </xf>
  </cellXfs>
  <cellStyles count="5">
    <cellStyle name="Comma" xfId="1" builtinId="3"/>
    <cellStyle name="Currency" xfId="2" builtinId="4"/>
    <cellStyle name="Normal" xfId="0" builtinId="0"/>
    <cellStyle name="Normal_Sheet1" xfId="3" xr:uid="{00000000-0005-0000-0000-000003000000}"/>
    <cellStyle name="Percent" xfId="4" builtinId="5"/>
  </cellStyles>
  <dxfs count="0"/>
  <tableStyles count="0" defaultTableStyle="TableStyleMedium9" defaultPivotStyle="PivotStyleLight16"/>
  <colors>
    <mruColors>
      <color rgb="FF3333FF"/>
      <color rgb="FF0000FF"/>
      <color rgb="FF1508B8"/>
      <color rgb="FF3333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Revenue, Feeder Cost, Cost of Gain &amp; Net Margin - $/Hd. </a:t>
            </a:r>
            <a:endParaRPr lang="en-US"/>
          </a:p>
        </c:rich>
      </c:tx>
      <c:layout>
        <c:manualLayout>
          <c:xMode val="edge"/>
          <c:yMode val="edge"/>
          <c:x val="9.9396600912142349E-2"/>
          <c:y val="2.1956087824351298E-2"/>
        </c:manualLayout>
      </c:layout>
      <c:overlay val="0"/>
      <c:spPr>
        <a:noFill/>
        <a:ln w="25400">
          <a:noFill/>
        </a:ln>
      </c:spPr>
    </c:title>
    <c:autoTitleDeleted val="0"/>
    <c:plotArea>
      <c:layout>
        <c:manualLayout>
          <c:layoutTarget val="inner"/>
          <c:xMode val="edge"/>
          <c:yMode val="edge"/>
          <c:x val="0.12745111597383491"/>
          <c:y val="0.25349350808833132"/>
          <c:w val="0.85512073538000344"/>
          <c:h val="0.55289528929502185"/>
        </c:manualLayout>
      </c:layout>
      <c:barChart>
        <c:barDir val="col"/>
        <c:grouping val="clustered"/>
        <c:varyColors val="0"/>
        <c:ser>
          <c:idx val="0"/>
          <c:order val="0"/>
          <c:tx>
            <c:strRef>
              <c:f>'3. Graphs'!$M$8</c:f>
              <c:strCache>
                <c:ptCount val="1"/>
                <c:pt idx="0">
                  <c:v>$/Head</c:v>
                </c:pt>
              </c:strCache>
            </c:strRef>
          </c:tx>
          <c:spPr>
            <a:solidFill>
              <a:srgbClr val="00FF00"/>
            </a:solidFill>
            <a:ln w="12700">
              <a:solidFill>
                <a:srgbClr val="000000"/>
              </a:solidFill>
              <a:prstDash val="solid"/>
            </a:ln>
          </c:spPr>
          <c:invertIfNegative val="0"/>
          <c:cat>
            <c:strRef>
              <c:f>'3. Graphs'!$N$7:$Q$7</c:f>
              <c:strCache>
                <c:ptCount val="4"/>
                <c:pt idx="0">
                  <c:v>Revenue</c:v>
                </c:pt>
                <c:pt idx="1">
                  <c:v>Feeder Cost</c:v>
                </c:pt>
                <c:pt idx="2">
                  <c:v>Cost of Gain*</c:v>
                </c:pt>
                <c:pt idx="3">
                  <c:v>Net Margin</c:v>
                </c:pt>
              </c:strCache>
            </c:strRef>
          </c:cat>
          <c:val>
            <c:numRef>
              <c:f>'3. Graphs'!$N$8:$Q$8</c:f>
              <c:numCache>
                <c:formatCode>"$"#,##0_);\("$"#,##0\)</c:formatCode>
                <c:ptCount val="4"/>
                <c:pt idx="0">
                  <c:v>1600.0617333333334</c:v>
                </c:pt>
                <c:pt idx="1">
                  <c:v>837.00440528634351</c:v>
                </c:pt>
                <c:pt idx="2">
                  <c:v>685.15066666666655</c:v>
                </c:pt>
                <c:pt idx="3">
                  <c:v>70.466622222222441</c:v>
                </c:pt>
              </c:numCache>
            </c:numRef>
          </c:val>
          <c:extLst>
            <c:ext xmlns:c16="http://schemas.microsoft.com/office/drawing/2014/chart" uri="{C3380CC4-5D6E-409C-BE32-E72D297353CC}">
              <c16:uniqueId val="{00000000-16F6-4442-A7B1-1807C1926D25}"/>
            </c:ext>
          </c:extLst>
        </c:ser>
        <c:dLbls>
          <c:showLegendKey val="0"/>
          <c:showVal val="0"/>
          <c:showCatName val="0"/>
          <c:showSerName val="0"/>
          <c:showPercent val="0"/>
          <c:showBubbleSize val="0"/>
        </c:dLbls>
        <c:gapWidth val="150"/>
        <c:axId val="248191904"/>
        <c:axId val="248195040"/>
      </c:barChart>
      <c:catAx>
        <c:axId val="248191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125" b="0" i="0" u="none" strike="noStrike" baseline="0">
                <a:solidFill>
                  <a:srgbClr val="000000"/>
                </a:solidFill>
                <a:latin typeface="Arial"/>
                <a:ea typeface="Arial"/>
                <a:cs typeface="Arial"/>
              </a:defRPr>
            </a:pPr>
            <a:endParaRPr lang="en-US"/>
          </a:p>
        </c:txPr>
        <c:crossAx val="248195040"/>
        <c:crosses val="autoZero"/>
        <c:auto val="1"/>
        <c:lblAlgn val="ctr"/>
        <c:lblOffset val="100"/>
        <c:tickMarkSkip val="1"/>
        <c:noMultiLvlLbl val="0"/>
      </c:catAx>
      <c:valAx>
        <c:axId val="248195040"/>
        <c:scaling>
          <c:orientation val="minMax"/>
        </c:scaling>
        <c:delete val="0"/>
        <c:axPos val="l"/>
        <c:majorGridlines>
          <c:spPr>
            <a:ln w="3175">
              <a:solidFill>
                <a:srgbClr val="000000"/>
              </a:solidFill>
              <a:prstDash val="solid"/>
            </a:ln>
          </c:spPr>
        </c:majorGridlines>
        <c:title>
          <c:tx>
            <c:rich>
              <a:bodyPr/>
              <a:lstStyle/>
              <a:p>
                <a:pPr>
                  <a:defRPr sz="1125" b="1" i="0" u="none" strike="noStrike" baseline="0">
                    <a:solidFill>
                      <a:srgbClr val="000000"/>
                    </a:solidFill>
                    <a:latin typeface="Arial"/>
                    <a:ea typeface="Arial"/>
                    <a:cs typeface="Arial"/>
                  </a:defRPr>
                </a:pPr>
                <a:r>
                  <a:rPr lang="en-US"/>
                  <a:t>$/Head</a:t>
                </a:r>
              </a:p>
            </c:rich>
          </c:tx>
          <c:layout>
            <c:manualLayout>
              <c:xMode val="edge"/>
              <c:yMode val="edge"/>
              <c:x val="6.2918147225599829E-3"/>
              <c:y val="0.42238818950026452"/>
            </c:manualLayout>
          </c:layout>
          <c:overlay val="0"/>
          <c:spPr>
            <a:noFill/>
            <a:ln w="25400">
              <a:noFill/>
            </a:ln>
          </c:spPr>
        </c:title>
        <c:numFmt formatCode="&quot;$&quot;#,##0_);\(&quot;$&quot;#,##0\)"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248191904"/>
        <c:crosses val="autoZero"/>
        <c:crossBetween val="between"/>
      </c:valAx>
      <c:dTable>
        <c:showHorzBorder val="1"/>
        <c:showVertBorder val="1"/>
        <c:showOutline val="1"/>
        <c:showKeys val="1"/>
        <c:spPr>
          <a:ln w="3175">
            <a:solidFill>
              <a:srgbClr val="000000"/>
            </a:solidFill>
            <a:prstDash val="solid"/>
          </a:ln>
        </c:spPr>
        <c:txPr>
          <a:bodyPr/>
          <a:lstStyle/>
          <a:p>
            <a:pPr rtl="0">
              <a:defRPr sz="1125" b="0" i="0" u="none" strike="noStrike" baseline="0">
                <a:solidFill>
                  <a:srgbClr val="000000"/>
                </a:solidFill>
                <a:latin typeface="Arial"/>
                <a:ea typeface="Arial"/>
                <a:cs typeface="Arial"/>
              </a:defRPr>
            </a:pPr>
            <a:endParaRPr lang="en-US"/>
          </a:p>
        </c:txPr>
      </c:dTable>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1" i="0" u="none" strike="noStrike" baseline="0">
                <a:solidFill>
                  <a:srgbClr val="000000"/>
                </a:solidFill>
                <a:latin typeface="Arial"/>
                <a:ea typeface="Arial"/>
                <a:cs typeface="Arial"/>
              </a:defRPr>
            </a:pPr>
            <a:r>
              <a:rPr lang="en-US"/>
              <a:t>Production and Finance Cost and Margin $/Head</a:t>
            </a:r>
          </a:p>
        </c:rich>
      </c:tx>
      <c:layout>
        <c:manualLayout>
          <c:xMode val="edge"/>
          <c:yMode val="edge"/>
          <c:x val="8.9590201224846899E-2"/>
          <c:y val="2.2668166479190104E-2"/>
        </c:manualLayout>
      </c:layout>
      <c:overlay val="0"/>
      <c:spPr>
        <a:noFill/>
        <a:ln w="25400">
          <a:noFill/>
        </a:ln>
      </c:spPr>
    </c:title>
    <c:autoTitleDeleted val="0"/>
    <c:plotArea>
      <c:layout>
        <c:manualLayout>
          <c:layoutTarget val="inner"/>
          <c:xMode val="edge"/>
          <c:yMode val="edge"/>
          <c:x val="0.26879271070615024"/>
          <c:y val="0.31405043165254742"/>
          <c:w val="0.21184510250569488"/>
          <c:h val="0.51239807269626159"/>
        </c:manualLayout>
      </c:layout>
      <c:pieChart>
        <c:varyColors val="1"/>
        <c:ser>
          <c:idx val="0"/>
          <c:order val="0"/>
          <c:tx>
            <c:strRef>
              <c:f>'3. Graphs'!$M$14</c:f>
              <c:strCache>
                <c:ptCount val="1"/>
                <c:pt idx="0">
                  <c:v>$/Head</c:v>
                </c:pt>
              </c:strCache>
            </c:strRef>
          </c:tx>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2A8F-45C2-91A5-7DDE0AC45060}"/>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2A8F-45C2-91A5-7DDE0AC45060}"/>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2A8F-45C2-91A5-7DDE0AC45060}"/>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2A8F-45C2-91A5-7DDE0AC45060}"/>
              </c:ext>
            </c:extLst>
          </c:dPt>
          <c:dLbls>
            <c:numFmt formatCode="0%"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'3. Graphs'!$N$13:$Q$13</c:f>
              <c:strCache>
                <c:ptCount val="4"/>
                <c:pt idx="0">
                  <c:v>Cost of Feeder</c:v>
                </c:pt>
                <c:pt idx="1">
                  <c:v>Cost of Gain* </c:v>
                </c:pt>
                <c:pt idx="2">
                  <c:v>Finance Cost</c:v>
                </c:pt>
                <c:pt idx="3">
                  <c:v>Net Margin</c:v>
                </c:pt>
              </c:strCache>
            </c:strRef>
          </c:cat>
          <c:val>
            <c:numRef>
              <c:f>'3. Graphs'!$N$14:$Q$14</c:f>
              <c:numCache>
                <c:formatCode>"$"#,##0_);\("$"#,##0\)</c:formatCode>
                <c:ptCount val="4"/>
                <c:pt idx="0">
                  <c:v>837.00440528634351</c:v>
                </c:pt>
                <c:pt idx="1">
                  <c:v>650.36848360254533</c:v>
                </c:pt>
                <c:pt idx="2">
                  <c:v>42.222222222222221</c:v>
                </c:pt>
                <c:pt idx="3">
                  <c:v>70.466622222222441</c:v>
                </c:pt>
              </c:numCache>
            </c:numRef>
          </c:val>
          <c:extLst>
            <c:ext xmlns:c16="http://schemas.microsoft.com/office/drawing/2014/chart" uri="{C3380CC4-5D6E-409C-BE32-E72D297353CC}">
              <c16:uniqueId val="{00000007-2A8F-45C2-91A5-7DDE0AC45060}"/>
            </c:ext>
          </c:extLst>
        </c:ser>
        <c:dLbls>
          <c:showLegendKey val="0"/>
          <c:showVal val="0"/>
          <c:showCatName val="0"/>
          <c:showSerName val="0"/>
          <c:showPercent val="1"/>
          <c:showBubbleSize val="0"/>
          <c:showLeaderLines val="1"/>
        </c:dLbls>
        <c:firstSliceAng val="0"/>
      </c:pieChart>
      <c:spPr>
        <a:noFill/>
        <a:ln w="25400">
          <a:noFill/>
        </a:ln>
      </c:spPr>
    </c:plotArea>
    <c:legend>
      <c:legendPos val="r"/>
      <c:layout>
        <c:manualLayout>
          <c:xMode val="edge"/>
          <c:yMode val="edge"/>
          <c:x val="0.62945869544084765"/>
          <c:y val="0.41912888161707057"/>
          <c:w val="0.32708451443569553"/>
          <c:h val="0.25166417834134369"/>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Closeout  Margin Summary - $/Head </a:t>
            </a:r>
          </a:p>
        </c:rich>
      </c:tx>
      <c:layout>
        <c:manualLayout>
          <c:xMode val="edge"/>
          <c:yMode val="edge"/>
          <c:x val="0.28730208723909512"/>
          <c:y val="3.5830618892508145E-2"/>
        </c:manualLayout>
      </c:layout>
      <c:overlay val="0"/>
      <c:spPr>
        <a:noFill/>
        <a:ln w="25400">
          <a:noFill/>
        </a:ln>
      </c:spPr>
    </c:title>
    <c:autoTitleDeleted val="0"/>
    <c:plotArea>
      <c:layout>
        <c:manualLayout>
          <c:layoutTarget val="inner"/>
          <c:xMode val="edge"/>
          <c:yMode val="edge"/>
          <c:x val="0.17777805335139718"/>
          <c:y val="0.22149872362760145"/>
          <c:w val="0.80000124008128737"/>
          <c:h val="0.57654814826596257"/>
        </c:manualLayout>
      </c:layout>
      <c:barChart>
        <c:barDir val="col"/>
        <c:grouping val="clustered"/>
        <c:varyColors val="0"/>
        <c:ser>
          <c:idx val="0"/>
          <c:order val="0"/>
          <c:tx>
            <c:strRef>
              <c:f>'4.Closeout Summary'!$E$27</c:f>
              <c:strCache>
                <c:ptCount val="1"/>
                <c:pt idx="0">
                  <c:v>$/Head </c:v>
                </c:pt>
              </c:strCache>
            </c:strRef>
          </c:tx>
          <c:spPr>
            <a:solidFill>
              <a:srgbClr val="00FF00"/>
            </a:solidFill>
            <a:ln w="12700">
              <a:solidFill>
                <a:srgbClr val="000000"/>
              </a:solidFill>
              <a:prstDash val="solid"/>
            </a:ln>
          </c:spPr>
          <c:invertIfNegative val="0"/>
          <c:cat>
            <c:strRef>
              <c:f>'4.Closeout Summary'!$B$28:$D$30</c:f>
              <c:strCache>
                <c:ptCount val="3"/>
                <c:pt idx="0">
                  <c:v>Marketing Margin</c:v>
                </c:pt>
                <c:pt idx="1">
                  <c:v>Feeding Margin</c:v>
                </c:pt>
                <c:pt idx="2">
                  <c:v>Net Income or Net Margin* </c:v>
                </c:pt>
              </c:strCache>
            </c:strRef>
          </c:cat>
          <c:val>
            <c:numRef>
              <c:f>'4.Closeout Summary'!$E$28:$E$30</c:f>
              <c:numCache>
                <c:formatCode>[$$-409]#,##0.00_);[Red]\([$$-409]#,##0.00\)</c:formatCode>
                <c:ptCount val="3"/>
                <c:pt idx="0">
                  <c:v>-184.10150687830668</c:v>
                </c:pt>
                <c:pt idx="1">
                  <c:v>254.56812910052932</c:v>
                </c:pt>
                <c:pt idx="2">
                  <c:v>70.466622222222441</c:v>
                </c:pt>
              </c:numCache>
            </c:numRef>
          </c:val>
          <c:extLst>
            <c:ext xmlns:c16="http://schemas.microsoft.com/office/drawing/2014/chart" uri="{C3380CC4-5D6E-409C-BE32-E72D297353CC}">
              <c16:uniqueId val="{00000000-4FD7-4498-87C7-4928DBABE069}"/>
            </c:ext>
          </c:extLst>
        </c:ser>
        <c:dLbls>
          <c:showLegendKey val="0"/>
          <c:showVal val="0"/>
          <c:showCatName val="0"/>
          <c:showSerName val="0"/>
          <c:showPercent val="0"/>
          <c:showBubbleSize val="0"/>
        </c:dLbls>
        <c:gapWidth val="150"/>
        <c:axId val="248193472"/>
        <c:axId val="248198176"/>
      </c:barChart>
      <c:catAx>
        <c:axId val="248193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8198176"/>
        <c:crosses val="autoZero"/>
        <c:auto val="1"/>
        <c:lblAlgn val="ctr"/>
        <c:lblOffset val="100"/>
        <c:tickMarkSkip val="1"/>
        <c:noMultiLvlLbl val="0"/>
      </c:catAx>
      <c:valAx>
        <c:axId val="248198176"/>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$/Head</a:t>
                </a:r>
              </a:p>
            </c:rich>
          </c:tx>
          <c:layout>
            <c:manualLayout>
              <c:xMode val="edge"/>
              <c:yMode val="edge"/>
              <c:x val="2.5396825396825397E-2"/>
              <c:y val="0.42345345268323542"/>
            </c:manualLayout>
          </c:layout>
          <c:overlay val="0"/>
          <c:spPr>
            <a:noFill/>
            <a:ln w="25400">
              <a:noFill/>
            </a:ln>
          </c:spPr>
        </c:title>
        <c:numFmt formatCode="[$$-409]#,##0.00_);[Red]\([$$-409]#,##0.00\)"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8193472"/>
        <c:crosses val="autoZero"/>
        <c:crossBetween val="between"/>
      </c:valAx>
      <c:dTable>
        <c:showHorzBorder val="1"/>
        <c:showVertBorder val="1"/>
        <c:showOutline val="1"/>
        <c:showKeys val="1"/>
        <c:spPr>
          <a:ln w="3175">
            <a:solidFill>
              <a:srgbClr val="000000"/>
            </a:solidFill>
            <a:prstDash val="solid"/>
          </a:ln>
        </c:spPr>
        <c:txPr>
          <a:bodyPr/>
          <a:lstStyle/>
          <a:p>
            <a:pPr rtl="0">
              <a:defRPr sz="1025" b="0" i="0" u="none" strike="noStrike" baseline="0">
                <a:solidFill>
                  <a:srgbClr val="000000"/>
                </a:solidFill>
                <a:latin typeface="Arial"/>
                <a:ea typeface="Arial"/>
                <a:cs typeface="Arial"/>
              </a:defRPr>
            </a:pPr>
            <a:endParaRPr lang="en-US"/>
          </a:p>
        </c:txPr>
      </c:dTable>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8</xdr:col>
      <xdr:colOff>0</xdr:colOff>
      <xdr:row>2</xdr:row>
      <xdr:rowOff>0</xdr:rowOff>
    </xdr:from>
    <xdr:to>
      <xdr:col>9</xdr:col>
      <xdr:colOff>723899</xdr:colOff>
      <xdr:row>4</xdr:row>
      <xdr:rowOff>92528</xdr:rowOff>
    </xdr:to>
    <xdr:pic>
      <xdr:nvPicPr>
        <xdr:cNvPr id="2" name="Picture 1" descr="TAMAgEXT">
          <a:extLst>
            <a:ext uri="{FF2B5EF4-FFF2-40B4-BE49-F238E27FC236}">
              <a16:creationId xmlns:a16="http://schemas.microsoft.com/office/drawing/2014/main" id="{CCF06578-7A93-4812-A5AC-A1BAD294D6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34400" y="413657"/>
          <a:ext cx="1654628" cy="4735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152400</xdr:colOff>
      <xdr:row>2</xdr:row>
      <xdr:rowOff>0</xdr:rowOff>
    </xdr:from>
    <xdr:to>
      <xdr:col>6</xdr:col>
      <xdr:colOff>704850</xdr:colOff>
      <xdr:row>26</xdr:row>
      <xdr:rowOff>180975</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104775</xdr:colOff>
      <xdr:row>28</xdr:row>
      <xdr:rowOff>0</xdr:rowOff>
    </xdr:from>
    <xdr:to>
      <xdr:col>6</xdr:col>
      <xdr:colOff>733425</xdr:colOff>
      <xdr:row>47</xdr:row>
      <xdr:rowOff>47625</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104775</xdr:colOff>
      <xdr:row>48</xdr:row>
      <xdr:rowOff>161925</xdr:rowOff>
    </xdr:from>
    <xdr:to>
      <xdr:col>4</xdr:col>
      <xdr:colOff>771525</xdr:colOff>
      <xdr:row>64</xdr:row>
      <xdr:rowOff>38100</xdr:rowOff>
    </xdr:to>
    <xdr:graphicFrame macro="">
      <xdr:nvGraphicFramePr>
        <xdr:cNvPr id="1150" name="Chart 1">
          <a:extLst>
            <a:ext uri="{FF2B5EF4-FFF2-40B4-BE49-F238E27FC236}">
              <a16:creationId xmlns:a16="http://schemas.microsoft.com/office/drawing/2014/main" id="{00000000-0008-0000-0300-00007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55"/>
  <sheetViews>
    <sheetView tabSelected="1" topLeftCell="A13" zoomScaleNormal="100" workbookViewId="0">
      <selection activeCell="A50" sqref="A50"/>
    </sheetView>
  </sheetViews>
  <sheetFormatPr defaultRowHeight="15" x14ac:dyDescent="0.35"/>
  <cols>
    <col min="1" max="1" width="2.6875" customWidth="1"/>
    <col min="2" max="2" width="28.625" customWidth="1"/>
    <col min="3" max="3" width="16.625" customWidth="1"/>
    <col min="4" max="4" width="4.125" customWidth="1"/>
    <col min="5" max="5" width="15.625" customWidth="1"/>
    <col min="6" max="6" width="12.125" customWidth="1"/>
    <col min="7" max="7" width="9.1875" bestFit="1" customWidth="1"/>
    <col min="9" max="9" width="10.6875" bestFit="1" customWidth="1"/>
    <col min="10" max="10" width="13.5625" customWidth="1"/>
    <col min="11" max="11" width="17.4375" customWidth="1"/>
    <col min="12" max="12" width="9.75" customWidth="1"/>
  </cols>
  <sheetData>
    <row r="1" spans="2:14" ht="17.600000000000001" x14ac:dyDescent="0.4">
      <c r="B1" s="321" t="s">
        <v>258</v>
      </c>
      <c r="C1" s="322"/>
      <c r="D1" s="322"/>
      <c r="E1" s="322"/>
      <c r="F1" s="322"/>
    </row>
    <row r="2" spans="2:14" x14ac:dyDescent="0.35">
      <c r="B2" s="2" t="s">
        <v>0</v>
      </c>
      <c r="C2" s="3">
        <f ca="1">TODAY()</f>
        <v>44747</v>
      </c>
      <c r="E2" s="328" t="s">
        <v>302</v>
      </c>
      <c r="F2" s="329"/>
      <c r="I2" s="145" t="s">
        <v>316</v>
      </c>
    </row>
    <row r="3" spans="2:14" x14ac:dyDescent="0.35">
      <c r="B3" t="s">
        <v>16</v>
      </c>
      <c r="C3" s="301">
        <v>123</v>
      </c>
      <c r="D3" s="121"/>
      <c r="E3" s="2" t="s">
        <v>17</v>
      </c>
      <c r="F3" s="267" t="s">
        <v>301</v>
      </c>
    </row>
    <row r="4" spans="2:14" x14ac:dyDescent="0.35">
      <c r="B4" t="s">
        <v>218</v>
      </c>
      <c r="C4" s="323" t="s">
        <v>300</v>
      </c>
      <c r="D4" s="324"/>
      <c r="E4" s="4" t="s">
        <v>105</v>
      </c>
      <c r="F4" s="63">
        <v>50</v>
      </c>
    </row>
    <row r="5" spans="2:14" x14ac:dyDescent="0.35">
      <c r="B5" t="s">
        <v>18</v>
      </c>
      <c r="C5" s="325" t="s">
        <v>305</v>
      </c>
      <c r="D5" s="326"/>
      <c r="E5" s="2" t="s">
        <v>19</v>
      </c>
      <c r="F5" s="114" t="s">
        <v>276</v>
      </c>
    </row>
    <row r="6" spans="2:14" x14ac:dyDescent="0.35">
      <c r="B6" s="2" t="s">
        <v>37</v>
      </c>
      <c r="C6" s="325" t="s">
        <v>279</v>
      </c>
      <c r="D6" s="326"/>
      <c r="E6" t="s">
        <v>22</v>
      </c>
      <c r="F6" s="63">
        <v>2</v>
      </c>
    </row>
    <row r="7" spans="2:14" x14ac:dyDescent="0.35">
      <c r="B7" s="40" t="s">
        <v>62</v>
      </c>
      <c r="C7" s="327" t="s">
        <v>308</v>
      </c>
      <c r="D7" s="326"/>
      <c r="E7" s="2" t="s">
        <v>221</v>
      </c>
      <c r="F7" s="63">
        <v>2</v>
      </c>
    </row>
    <row r="8" spans="2:14" x14ac:dyDescent="0.35">
      <c r="B8" s="289" t="s">
        <v>63</v>
      </c>
      <c r="C8" s="207">
        <v>43706</v>
      </c>
      <c r="E8" s="242" t="s">
        <v>46</v>
      </c>
      <c r="F8" s="63">
        <v>227</v>
      </c>
    </row>
    <row r="9" spans="2:14" x14ac:dyDescent="0.35">
      <c r="B9" s="289"/>
      <c r="C9" s="303"/>
      <c r="E9" s="242" t="s">
        <v>267</v>
      </c>
      <c r="F9" s="63">
        <v>225</v>
      </c>
      <c r="G9" s="2" t="s">
        <v>268</v>
      </c>
    </row>
    <row r="10" spans="2:14" ht="17.600000000000001" x14ac:dyDescent="0.4">
      <c r="B10" s="289" t="s">
        <v>64</v>
      </c>
      <c r="C10" s="290">
        <v>43999</v>
      </c>
      <c r="D10" s="238"/>
      <c r="E10" s="242" t="s">
        <v>278</v>
      </c>
      <c r="F10" s="63">
        <v>223</v>
      </c>
      <c r="G10" s="10" t="s">
        <v>259</v>
      </c>
    </row>
    <row r="11" spans="2:14" x14ac:dyDescent="0.35">
      <c r="B11" s="289" t="s">
        <v>247</v>
      </c>
      <c r="C11" s="210">
        <v>57537</v>
      </c>
      <c r="E11" s="189">
        <f>IF(F8=0,0,C11/F8)</f>
        <v>253.46696035242292</v>
      </c>
      <c r="F11" t="s">
        <v>145</v>
      </c>
    </row>
    <row r="12" spans="2:14" ht="15.45" x14ac:dyDescent="0.4">
      <c r="B12" s="2" t="s">
        <v>24</v>
      </c>
      <c r="C12" s="71">
        <v>4</v>
      </c>
      <c r="D12" s="2" t="s">
        <v>3</v>
      </c>
      <c r="E12" s="10" t="s">
        <v>162</v>
      </c>
      <c r="H12" s="4"/>
      <c r="I12" s="209" t="s">
        <v>138</v>
      </c>
    </row>
    <row r="13" spans="2:14" x14ac:dyDescent="0.35">
      <c r="B13" s="233" t="s">
        <v>248</v>
      </c>
      <c r="C13" s="302">
        <v>315000</v>
      </c>
      <c r="E13" s="239">
        <f>IF(F9=0,0,C13/F9)</f>
        <v>1400</v>
      </c>
      <c r="G13" s="2" t="s">
        <v>268</v>
      </c>
      <c r="H13" s="2"/>
    </row>
    <row r="14" spans="2:14" x14ac:dyDescent="0.35">
      <c r="B14" s="233" t="s">
        <v>249</v>
      </c>
      <c r="C14" s="302">
        <v>130000</v>
      </c>
      <c r="E14" s="222">
        <f>IF(F8=0,0,C14/F8)</f>
        <v>572.68722466960355</v>
      </c>
      <c r="I14" s="4"/>
    </row>
    <row r="15" spans="2:14" ht="15.45" x14ac:dyDescent="0.4">
      <c r="B15" s="203" t="s">
        <v>135</v>
      </c>
      <c r="C15" s="204">
        <f>C13-C14</f>
        <v>185000</v>
      </c>
      <c r="E15" s="189">
        <f>IF(F9=0,0,C15/F9)</f>
        <v>822.22222222222217</v>
      </c>
      <c r="G15" s="2" t="s">
        <v>268</v>
      </c>
      <c r="I15" s="4"/>
      <c r="J15" s="130" t="s">
        <v>130</v>
      </c>
      <c r="K15" s="132"/>
      <c r="L15" s="115"/>
      <c r="M15" s="115"/>
      <c r="N15" s="116"/>
    </row>
    <row r="16" spans="2:14" ht="15.45" x14ac:dyDescent="0.4">
      <c r="B16" s="203" t="s">
        <v>136</v>
      </c>
      <c r="C16" s="205">
        <f>IF(C11=0,0,C15/C11)</f>
        <v>3.2153223143368614</v>
      </c>
      <c r="E16" s="2" t="s">
        <v>260</v>
      </c>
      <c r="F16" s="109" t="s">
        <v>307</v>
      </c>
      <c r="J16" s="131" t="s">
        <v>112</v>
      </c>
      <c r="K16" s="122"/>
      <c r="L16" s="183">
        <f>J17*J18</f>
        <v>375</v>
      </c>
      <c r="M16" s="118" t="s">
        <v>107</v>
      </c>
      <c r="N16" s="119"/>
    </row>
    <row r="17" spans="2:14" x14ac:dyDescent="0.35">
      <c r="B17" s="14" t="s">
        <v>137</v>
      </c>
      <c r="C17" s="284"/>
      <c r="G17" s="108"/>
      <c r="J17" s="184">
        <v>100</v>
      </c>
      <c r="K17" s="126" t="s">
        <v>111</v>
      </c>
      <c r="L17" s="144">
        <f>IF(C3=0,0,(L16/(J19*L19)))</f>
        <v>7.4999999999999997E-3</v>
      </c>
      <c r="M17" s="123" t="s">
        <v>2</v>
      </c>
      <c r="N17" s="122"/>
    </row>
    <row r="18" spans="2:14" ht="15.45" x14ac:dyDescent="0.4">
      <c r="B18" s="233" t="s">
        <v>144</v>
      </c>
      <c r="C18" s="302">
        <v>1105057</v>
      </c>
      <c r="G18" s="222"/>
      <c r="J18" s="185">
        <v>3.75</v>
      </c>
      <c r="K18" s="133" t="s">
        <v>106</v>
      </c>
      <c r="L18" s="186">
        <v>50000</v>
      </c>
      <c r="M18" s="117" t="s">
        <v>108</v>
      </c>
      <c r="N18" s="122"/>
    </row>
    <row r="19" spans="2:14" x14ac:dyDescent="0.35">
      <c r="B19" s="233" t="s">
        <v>147</v>
      </c>
      <c r="C19" s="208">
        <f>IF(C15=0,0,C18/C15)</f>
        <v>5.9732810810810815</v>
      </c>
      <c r="J19" s="124">
        <f>'2. Finished Cattle Close Out'!F9</f>
        <v>572.68722466960355</v>
      </c>
      <c r="K19" s="134" t="s">
        <v>131</v>
      </c>
      <c r="L19" s="125">
        <f>IF(C3=0,0,L18/J19)</f>
        <v>87.307692307692307</v>
      </c>
      <c r="M19" s="120" t="s">
        <v>110</v>
      </c>
      <c r="N19" s="126"/>
    </row>
    <row r="20" spans="2:14" ht="15.45" x14ac:dyDescent="0.4">
      <c r="B20" s="2"/>
      <c r="C20" s="136"/>
      <c r="D20" s="136"/>
      <c r="J20" s="187">
        <f>L20*F8</f>
        <v>975</v>
      </c>
      <c r="K20" s="188" t="s">
        <v>132</v>
      </c>
      <c r="L20" s="128">
        <f>IF(C3=0,0,L16/L19)</f>
        <v>4.2951541850220263</v>
      </c>
      <c r="M20" s="135" t="s">
        <v>109</v>
      </c>
      <c r="N20" s="127"/>
    </row>
    <row r="21" spans="2:14" ht="15.45" x14ac:dyDescent="0.4">
      <c r="B21" s="10" t="s">
        <v>83</v>
      </c>
      <c r="C21" s="30"/>
      <c r="D21" s="30"/>
      <c r="E21" s="83" t="s">
        <v>225</v>
      </c>
      <c r="G21" s="83" t="s">
        <v>252</v>
      </c>
    </row>
    <row r="22" spans="2:14" ht="15.45" x14ac:dyDescent="0.4">
      <c r="B22" s="2" t="s">
        <v>246</v>
      </c>
      <c r="C22" s="306">
        <v>362250</v>
      </c>
      <c r="D22" s="34"/>
      <c r="E22" s="292">
        <f>F10</f>
        <v>223</v>
      </c>
      <c r="G22" s="83" t="s">
        <v>240</v>
      </c>
    </row>
    <row r="23" spans="2:14" x14ac:dyDescent="0.35">
      <c r="B23" s="42" t="s">
        <v>41</v>
      </c>
      <c r="C23" s="237">
        <v>0</v>
      </c>
      <c r="D23" s="57"/>
    </row>
    <row r="24" spans="2:14" x14ac:dyDescent="0.35">
      <c r="B24" s="216" t="s">
        <v>283</v>
      </c>
      <c r="C24" s="237">
        <v>-450</v>
      </c>
      <c r="D24" s="57"/>
    </row>
    <row r="25" spans="2:14" x14ac:dyDescent="0.35">
      <c r="B25" s="216" t="s">
        <v>304</v>
      </c>
      <c r="C25" s="237">
        <v>-1786.11</v>
      </c>
      <c r="D25" s="57"/>
    </row>
    <row r="26" spans="2:14" ht="15.45" x14ac:dyDescent="0.4">
      <c r="B26" s="10" t="s">
        <v>166</v>
      </c>
      <c r="C26" s="33">
        <f>SUM(C22:C25)</f>
        <v>360013.89</v>
      </c>
      <c r="F26" s="83"/>
    </row>
    <row r="27" spans="2:14" ht="15.45" x14ac:dyDescent="0.4">
      <c r="C27" s="34"/>
      <c r="D27" s="34"/>
    </row>
    <row r="28" spans="2:14" ht="15.45" x14ac:dyDescent="0.4">
      <c r="B28" s="10" t="s">
        <v>163</v>
      </c>
      <c r="C28" s="27"/>
      <c r="D28" s="27"/>
      <c r="E28" s="10" t="s">
        <v>227</v>
      </c>
      <c r="H28" s="2" t="s">
        <v>183</v>
      </c>
      <c r="I28" s="2" t="s">
        <v>209</v>
      </c>
    </row>
    <row r="29" spans="2:14" ht="15.45" x14ac:dyDescent="0.4">
      <c r="B29" s="10" t="s">
        <v>223</v>
      </c>
      <c r="C29" s="27"/>
      <c r="D29" s="294">
        <v>1</v>
      </c>
      <c r="E29" s="2" t="str">
        <f>IF(D29=1,"Feedyard Priced","Accumulated Cost")</f>
        <v>Feedyard Priced</v>
      </c>
      <c r="H29" s="2" t="s">
        <v>181</v>
      </c>
      <c r="I29" s="2" t="s">
        <v>182</v>
      </c>
    </row>
    <row r="30" spans="2:14" ht="15.45" x14ac:dyDescent="0.4">
      <c r="B30" s="10" t="s">
        <v>157</v>
      </c>
      <c r="C30" s="49">
        <v>190000</v>
      </c>
      <c r="E30" s="2" t="s">
        <v>224</v>
      </c>
      <c r="H30" s="222">
        <f>'2. Finished Cattle Close Out'!L32</f>
        <v>293</v>
      </c>
      <c r="I30" s="110">
        <f>((F32*(H30/365)))</f>
        <v>152520.54794520547</v>
      </c>
    </row>
    <row r="31" spans="2:14" x14ac:dyDescent="0.35">
      <c r="B31" s="256" t="s">
        <v>179</v>
      </c>
      <c r="C31" s="49">
        <v>0</v>
      </c>
      <c r="D31" s="49"/>
      <c r="F31" s="2" t="s">
        <v>180</v>
      </c>
      <c r="H31" s="2" t="s">
        <v>185</v>
      </c>
    </row>
    <row r="32" spans="2:14" ht="15.45" x14ac:dyDescent="0.4">
      <c r="B32" s="256" t="s">
        <v>78</v>
      </c>
      <c r="C32" s="49">
        <v>0</v>
      </c>
      <c r="D32" s="49"/>
      <c r="E32" s="129">
        <f>IF(F32=0,0,F32/C14*100)</f>
        <v>146.15384615384613</v>
      </c>
      <c r="F32" s="110">
        <f>SUM(C30:C32)</f>
        <v>190000</v>
      </c>
      <c r="H32" s="265">
        <f>H30</f>
        <v>293</v>
      </c>
      <c r="I32" s="110">
        <f>((F39*0.5*(H32/365)))</f>
        <v>57660.353013698645</v>
      </c>
    </row>
    <row r="33" spans="2:10" ht="15.45" x14ac:dyDescent="0.4">
      <c r="B33" s="2" t="s">
        <v>220</v>
      </c>
      <c r="C33" s="29"/>
      <c r="D33" s="29"/>
      <c r="H33" s="4"/>
      <c r="I33" s="129">
        <f>I30+I32</f>
        <v>210180.90095890412</v>
      </c>
      <c r="J33" s="2" t="s">
        <v>184</v>
      </c>
    </row>
    <row r="34" spans="2:10" ht="15.45" x14ac:dyDescent="0.4">
      <c r="B34" s="2" t="s">
        <v>262</v>
      </c>
      <c r="C34" s="49">
        <v>139811.91</v>
      </c>
      <c r="D34" s="198"/>
      <c r="F34" s="129">
        <f>C34</f>
        <v>139811.91</v>
      </c>
      <c r="G34" s="2" t="s">
        <v>265</v>
      </c>
    </row>
    <row r="35" spans="2:10" x14ac:dyDescent="0.35">
      <c r="B35" s="304" t="s">
        <v>261</v>
      </c>
      <c r="C35" s="49">
        <v>3429.8</v>
      </c>
      <c r="D35" s="198"/>
      <c r="E35" s="110"/>
    </row>
    <row r="36" spans="2:10" x14ac:dyDescent="0.35">
      <c r="B36" s="304" t="s">
        <v>277</v>
      </c>
      <c r="C36" s="49">
        <v>313.47000000000003</v>
      </c>
      <c r="D36" s="198"/>
    </row>
    <row r="37" spans="2:10" x14ac:dyDescent="0.35">
      <c r="B37" s="304" t="s">
        <v>280</v>
      </c>
      <c r="C37" s="49">
        <v>218.1</v>
      </c>
      <c r="D37" s="198"/>
    </row>
    <row r="38" spans="2:10" x14ac:dyDescent="0.35">
      <c r="B38" s="304" t="s">
        <v>281</v>
      </c>
      <c r="C38" s="49">
        <f>289.5+17.67</f>
        <v>307.17</v>
      </c>
      <c r="D38" s="198"/>
    </row>
    <row r="39" spans="2:10" ht="15.45" x14ac:dyDescent="0.4">
      <c r="B39" s="304" t="s">
        <v>282</v>
      </c>
      <c r="C39" s="49">
        <v>-421.55</v>
      </c>
      <c r="D39" s="29"/>
      <c r="F39" s="129">
        <f>SUM(C34:C39)</f>
        <v>143658.90000000002</v>
      </c>
      <c r="G39" s="298" t="s">
        <v>263</v>
      </c>
      <c r="I39" s="110"/>
    </row>
    <row r="40" spans="2:10" x14ac:dyDescent="0.35">
      <c r="B40" s="304" t="s">
        <v>306</v>
      </c>
      <c r="C40" s="49">
        <v>0</v>
      </c>
      <c r="D40" s="59"/>
      <c r="E40" s="2" t="s">
        <v>250</v>
      </c>
    </row>
    <row r="41" spans="2:10" ht="15.45" x14ac:dyDescent="0.4">
      <c r="B41" s="10" t="s">
        <v>174</v>
      </c>
      <c r="C41" s="34">
        <v>1000</v>
      </c>
      <c r="D41" s="59"/>
      <c r="E41" s="312">
        <f>IF(F8=0,0,C41/F8)</f>
        <v>4.4052863436123344</v>
      </c>
      <c r="G41" s="2" t="s">
        <v>186</v>
      </c>
    </row>
    <row r="42" spans="2:10" ht="15.45" x14ac:dyDescent="0.4">
      <c r="B42" s="10" t="s">
        <v>91</v>
      </c>
      <c r="C42" s="56"/>
      <c r="D42" s="59"/>
      <c r="E42" s="56"/>
      <c r="G42" s="4" t="s">
        <v>117</v>
      </c>
      <c r="I42" s="206">
        <v>5</v>
      </c>
      <c r="J42" s="2" t="s">
        <v>148</v>
      </c>
    </row>
    <row r="43" spans="2:10" ht="15.45" x14ac:dyDescent="0.4">
      <c r="B43" s="2" t="s">
        <v>178</v>
      </c>
      <c r="C43" s="34">
        <v>9500</v>
      </c>
      <c r="D43" s="59"/>
      <c r="E43" s="27">
        <f>SUM(C34:C43)</f>
        <v>154158.90000000002</v>
      </c>
      <c r="G43" s="2" t="s">
        <v>177</v>
      </c>
      <c r="I43" s="143">
        <f>I33</f>
        <v>210180.90095890412</v>
      </c>
      <c r="J43" s="2" t="s">
        <v>146</v>
      </c>
    </row>
    <row r="44" spans="2:10" ht="15.45" x14ac:dyDescent="0.4">
      <c r="B44" s="10" t="s">
        <v>164</v>
      </c>
      <c r="C44" s="244">
        <f>SUM(C30:C43)</f>
        <v>344158.89999999997</v>
      </c>
      <c r="D44" s="58"/>
      <c r="E44" s="143">
        <f>'2. Finished Cattle Close Out'!L41</f>
        <v>210582.2708219178</v>
      </c>
      <c r="G44" t="s">
        <v>118</v>
      </c>
      <c r="J44" s="266">
        <f>I43*I42*0.01</f>
        <v>10509.045047945207</v>
      </c>
    </row>
    <row r="45" spans="2:10" x14ac:dyDescent="0.35">
      <c r="E45" s="48"/>
      <c r="F45" s="4"/>
    </row>
    <row r="46" spans="2:10" ht="15.45" x14ac:dyDescent="0.4">
      <c r="B46" s="10" t="s">
        <v>303</v>
      </c>
      <c r="C46" s="2"/>
      <c r="I46" s="10" t="s">
        <v>175</v>
      </c>
    </row>
    <row r="47" spans="2:10" x14ac:dyDescent="0.35">
      <c r="B47" s="2" t="s">
        <v>219</v>
      </c>
      <c r="C47" s="287">
        <f>F10</f>
        <v>223</v>
      </c>
      <c r="I47" s="83" t="s">
        <v>176</v>
      </c>
    </row>
    <row r="48" spans="2:10" x14ac:dyDescent="0.35">
      <c r="B48" s="2" t="s">
        <v>228</v>
      </c>
      <c r="C48" s="305">
        <v>1402</v>
      </c>
      <c r="F48" s="2"/>
      <c r="I48" s="83" t="s">
        <v>165</v>
      </c>
    </row>
    <row r="49" spans="2:9" x14ac:dyDescent="0.35">
      <c r="B49" s="2" t="s">
        <v>200</v>
      </c>
      <c r="C49" s="256">
        <v>894</v>
      </c>
      <c r="F49" s="2"/>
      <c r="I49" s="83" t="s">
        <v>317</v>
      </c>
    </row>
    <row r="50" spans="2:9" x14ac:dyDescent="0.35">
      <c r="B50" s="2" t="s">
        <v>194</v>
      </c>
      <c r="C50" s="285">
        <v>0.65610000000000002</v>
      </c>
    </row>
    <row r="51" spans="2:9" ht="15.45" x14ac:dyDescent="0.4">
      <c r="B51" s="10" t="s">
        <v>167</v>
      </c>
    </row>
    <row r="52" spans="2:9" x14ac:dyDescent="0.35">
      <c r="B52" s="2" t="s">
        <v>168</v>
      </c>
      <c r="C52" s="258">
        <v>0.73</v>
      </c>
    </row>
    <row r="53" spans="2:9" ht="15.45" x14ac:dyDescent="0.4">
      <c r="B53" s="10" t="s">
        <v>169</v>
      </c>
      <c r="C53" s="258"/>
    </row>
    <row r="54" spans="2:9" x14ac:dyDescent="0.35">
      <c r="B54" s="257" t="s">
        <v>170</v>
      </c>
      <c r="C54" s="259">
        <v>0.61</v>
      </c>
    </row>
    <row r="55" spans="2:9" x14ac:dyDescent="0.35">
      <c r="B55" s="257" t="s">
        <v>171</v>
      </c>
      <c r="C55" s="259">
        <v>0.12</v>
      </c>
    </row>
  </sheetData>
  <sheetProtection sheet="1" objects="1" scenarios="1"/>
  <mergeCells count="6">
    <mergeCell ref="B1:F1"/>
    <mergeCell ref="C4:D4"/>
    <mergeCell ref="C5:D5"/>
    <mergeCell ref="C6:D6"/>
    <mergeCell ref="C7:D7"/>
    <mergeCell ref="E2:F2"/>
  </mergeCells>
  <phoneticPr fontId="20" type="noConversion"/>
  <printOptions gridLines="1"/>
  <pageMargins left="0.95" right="0.45" top="0.75" bottom="0.75" header="0.3" footer="0.3"/>
  <pageSetup scale="82" orientation="portrait" r:id="rId1"/>
  <headerFooter>
    <oddFooter>&amp;L&amp;F&amp;R&amp;A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67"/>
  <sheetViews>
    <sheetView zoomScaleNormal="100" workbookViewId="0">
      <selection activeCell="E52" sqref="E52"/>
    </sheetView>
  </sheetViews>
  <sheetFormatPr defaultRowHeight="15" x14ac:dyDescent="0.35"/>
  <cols>
    <col min="1" max="1" width="3.875" customWidth="1"/>
    <col min="2" max="2" width="47.4375" customWidth="1"/>
    <col min="3" max="3" width="11.6875" customWidth="1"/>
    <col min="4" max="4" width="10.6875" customWidth="1"/>
    <col min="5" max="5" width="13" customWidth="1"/>
    <col min="6" max="6" width="12.75" customWidth="1"/>
    <col min="7" max="7" width="11.375" customWidth="1"/>
    <col min="8" max="8" width="9.625" customWidth="1"/>
    <col min="9" max="9" width="9.25" customWidth="1"/>
    <col min="10" max="10" width="2.4375" customWidth="1"/>
    <col min="11" max="11" width="14.3125" customWidth="1"/>
    <col min="12" max="12" width="12" customWidth="1"/>
    <col min="13" max="13" width="28.6875" customWidth="1"/>
    <col min="14" max="14" width="10.875" customWidth="1"/>
    <col min="16" max="16" width="6.4375" customWidth="1"/>
    <col min="17" max="17" width="11.875" customWidth="1"/>
  </cols>
  <sheetData>
    <row r="1" spans="2:14" ht="17.600000000000001" x14ac:dyDescent="0.4">
      <c r="B1" s="321" t="s">
        <v>128</v>
      </c>
      <c r="C1" s="321"/>
      <c r="D1" s="321"/>
      <c r="E1" s="321"/>
      <c r="F1" s="321"/>
      <c r="G1" s="330"/>
      <c r="H1" s="227"/>
      <c r="I1" s="227"/>
      <c r="J1" s="227"/>
      <c r="K1" s="47"/>
    </row>
    <row r="2" spans="2:14" ht="17.600000000000001" x14ac:dyDescent="0.4">
      <c r="B2" s="2" t="s">
        <v>0</v>
      </c>
      <c r="D2" s="3">
        <f ca="1">TODAY()</f>
        <v>44747</v>
      </c>
      <c r="F2" s="47"/>
      <c r="G2" s="47"/>
      <c r="H2" s="226"/>
      <c r="I2" s="226"/>
      <c r="J2" s="226"/>
      <c r="K2" s="47"/>
    </row>
    <row r="3" spans="2:14" ht="17.600000000000001" x14ac:dyDescent="0.4">
      <c r="B3" t="s">
        <v>16</v>
      </c>
      <c r="C3">
        <f>'1.Custom Finish Financial Data'!C3</f>
        <v>123</v>
      </c>
      <c r="D3" s="211"/>
      <c r="E3" s="2" t="s">
        <v>17</v>
      </c>
      <c r="F3" s="142" t="str">
        <f>'1.Custom Finish Financial Data'!F3</f>
        <v>Angus</v>
      </c>
      <c r="G3" s="47"/>
      <c r="H3" s="226"/>
      <c r="I3" s="226"/>
      <c r="J3" s="226"/>
      <c r="K3" s="47"/>
    </row>
    <row r="4" spans="2:14" ht="17.600000000000001" x14ac:dyDescent="0.4">
      <c r="B4" s="2" t="s">
        <v>218</v>
      </c>
      <c r="C4" s="139" t="str">
        <f>'1.Custom Finish Financial Data'!C4:D4</f>
        <v>TX Feedyard</v>
      </c>
      <c r="D4" s="139"/>
      <c r="E4" s="4" t="s">
        <v>105</v>
      </c>
      <c r="F4" s="142">
        <f>'1.Custom Finish Financial Data'!F4</f>
        <v>50</v>
      </c>
      <c r="G4" s="47"/>
      <c r="H4" s="226"/>
      <c r="I4" s="226"/>
      <c r="J4" s="226"/>
      <c r="K4" s="47"/>
    </row>
    <row r="5" spans="2:14" ht="17.600000000000001" x14ac:dyDescent="0.4">
      <c r="B5" t="s">
        <v>18</v>
      </c>
      <c r="C5" s="139" t="str">
        <f>'1.Custom Finish Financial Data'!C5:D5</f>
        <v xml:space="preserve">South TX </v>
      </c>
      <c r="D5" s="139"/>
      <c r="E5" s="2" t="s">
        <v>19</v>
      </c>
      <c r="F5" s="142" t="str">
        <f>'1.Custom Finish Financial Data'!F5</f>
        <v>Steers</v>
      </c>
      <c r="G5" s="47"/>
      <c r="H5" s="226"/>
      <c r="I5" s="226"/>
      <c r="J5" s="226"/>
    </row>
    <row r="6" spans="2:14" ht="17.600000000000001" x14ac:dyDescent="0.4">
      <c r="B6" s="2" t="s">
        <v>37</v>
      </c>
      <c r="C6" s="139" t="str">
        <f>'1.Custom Finish Financial Data'!C6:D6</f>
        <v>Stocker</v>
      </c>
      <c r="D6" s="139"/>
      <c r="F6" s="47"/>
      <c r="G6" s="47"/>
      <c r="H6" s="226"/>
      <c r="I6" s="226"/>
      <c r="J6" s="226"/>
    </row>
    <row r="7" spans="2:14" ht="17.600000000000001" x14ac:dyDescent="0.4">
      <c r="B7" s="40" t="s">
        <v>62</v>
      </c>
      <c r="C7" s="139" t="str">
        <f>'1.Custom Finish Financial Data'!C7</f>
        <v>Conventional</v>
      </c>
      <c r="F7" s="47"/>
      <c r="G7" s="47"/>
      <c r="H7" s="226"/>
      <c r="I7" s="226"/>
      <c r="J7" s="226"/>
    </row>
    <row r="8" spans="2:14" ht="17.600000000000001" x14ac:dyDescent="0.4">
      <c r="B8" s="4" t="s">
        <v>57</v>
      </c>
      <c r="D8" s="214">
        <f>'1.Custom Finish Financial Data'!C8</f>
        <v>43706</v>
      </c>
      <c r="E8" s="2" t="s">
        <v>73</v>
      </c>
      <c r="F8" s="211">
        <f>'1.Custom Finish Financial Data'!F8</f>
        <v>227</v>
      </c>
      <c r="G8" s="47"/>
      <c r="H8" s="226"/>
      <c r="I8" s="226"/>
      <c r="J8" s="226"/>
    </row>
    <row r="9" spans="2:14" ht="17.600000000000001" x14ac:dyDescent="0.4">
      <c r="B9" s="2" t="s">
        <v>72</v>
      </c>
      <c r="C9" s="1" t="s">
        <v>28</v>
      </c>
      <c r="D9" s="213">
        <f>'1.Custom Finish Financial Data'!C14</f>
        <v>130000</v>
      </c>
      <c r="E9" s="1" t="s">
        <v>4</v>
      </c>
      <c r="F9" s="252">
        <f>IF(F8=0,0,D9/F8)</f>
        <v>572.68722466960355</v>
      </c>
      <c r="G9" s="201"/>
      <c r="H9" s="226"/>
      <c r="I9" s="226"/>
      <c r="J9" s="226"/>
    </row>
    <row r="10" spans="2:14" ht="17.600000000000001" x14ac:dyDescent="0.4">
      <c r="B10" s="4" t="s">
        <v>133</v>
      </c>
      <c r="C10" s="82" t="s">
        <v>56</v>
      </c>
      <c r="D10" s="215">
        <f>'1.Custom Finish Financial Data'!C18</f>
        <v>1105057</v>
      </c>
      <c r="E10" s="25" t="s">
        <v>55</v>
      </c>
      <c r="F10" s="95">
        <f>IF(D10=0,0,D10/D18)</f>
        <v>5.9732810810810815</v>
      </c>
      <c r="G10" s="47"/>
      <c r="H10" s="264" t="s">
        <v>197</v>
      </c>
      <c r="I10" s="264"/>
      <c r="J10" s="226"/>
    </row>
    <row r="11" spans="2:14" ht="17.600000000000001" x14ac:dyDescent="0.4">
      <c r="B11" s="2" t="s">
        <v>235</v>
      </c>
      <c r="C11" s="14" t="s">
        <v>29</v>
      </c>
      <c r="D11" s="213">
        <f>'1.Custom Finish Financial Data'!C11</f>
        <v>57537</v>
      </c>
      <c r="E11" s="38" t="s">
        <v>234</v>
      </c>
      <c r="F11" s="297">
        <f>IF(D15=0,0,D11/F8)</f>
        <v>253.46696035242292</v>
      </c>
      <c r="G11" s="47"/>
      <c r="H11" s="273">
        <f>D14-D8</f>
        <v>293</v>
      </c>
      <c r="I11" s="264" t="s">
        <v>29</v>
      </c>
      <c r="J11" s="226"/>
      <c r="K11" s="200"/>
    </row>
    <row r="12" spans="2:14" ht="17.600000000000001" x14ac:dyDescent="0.4">
      <c r="B12" t="s">
        <v>22</v>
      </c>
      <c r="C12" s="38" t="s">
        <v>27</v>
      </c>
      <c r="D12" s="240">
        <f>'1.Custom Finish Financial Data'!F6</f>
        <v>2</v>
      </c>
      <c r="E12" s="142" t="s">
        <v>188</v>
      </c>
      <c r="F12" s="241">
        <f>'1.Custom Finish Financial Data'!F7</f>
        <v>2</v>
      </c>
      <c r="G12" s="47"/>
      <c r="H12" s="226"/>
      <c r="I12" s="226"/>
      <c r="J12" s="226"/>
      <c r="K12" s="47"/>
    </row>
    <row r="13" spans="2:14" ht="17.600000000000001" x14ac:dyDescent="0.4">
      <c r="B13" s="2" t="s">
        <v>189</v>
      </c>
      <c r="C13" s="1" t="s">
        <v>190</v>
      </c>
      <c r="D13" s="112">
        <f>D12+F12</f>
        <v>4</v>
      </c>
      <c r="E13" s="40" t="s">
        <v>187</v>
      </c>
      <c r="F13" s="51">
        <f>IF(F8=0,0,((D13)/F8))</f>
        <v>1.7621145374449341E-2</v>
      </c>
      <c r="G13" s="47"/>
      <c r="H13" s="281"/>
      <c r="I13" s="281" t="s">
        <v>217</v>
      </c>
      <c r="J13" s="226"/>
      <c r="K13" s="47"/>
    </row>
    <row r="14" spans="2:14" ht="17.600000000000001" x14ac:dyDescent="0.4">
      <c r="B14" s="4" t="s">
        <v>123</v>
      </c>
      <c r="D14" s="212">
        <f>'1.Custom Finish Financial Data'!C10</f>
        <v>43999</v>
      </c>
      <c r="E14" t="s">
        <v>21</v>
      </c>
      <c r="F14" s="243" t="str">
        <f>'1.Custom Finish Financial Data'!F16</f>
        <v>Tyson</v>
      </c>
      <c r="G14" s="47"/>
      <c r="H14" s="226"/>
      <c r="I14" s="226"/>
      <c r="J14" s="226"/>
      <c r="K14" s="47"/>
    </row>
    <row r="15" spans="2:14" ht="20.149999999999999" x14ac:dyDescent="0.5">
      <c r="B15" s="40" t="s">
        <v>237</v>
      </c>
      <c r="C15" s="46" t="s">
        <v>27</v>
      </c>
      <c r="D15" s="249">
        <f>F8-D12</f>
        <v>225</v>
      </c>
      <c r="E15" s="10" t="s">
        <v>196</v>
      </c>
      <c r="F15" s="272">
        <f>F8-D12-F12</f>
        <v>223</v>
      </c>
      <c r="G15" s="47"/>
      <c r="H15" s="226"/>
      <c r="I15" s="226"/>
      <c r="J15" s="226"/>
      <c r="K15" s="47"/>
      <c r="L15" s="73"/>
      <c r="N15" s="74"/>
    </row>
    <row r="16" spans="2:14" ht="17.600000000000001" x14ac:dyDescent="0.4">
      <c r="B16" t="s">
        <v>75</v>
      </c>
      <c r="C16" s="46" t="s">
        <v>28</v>
      </c>
      <c r="D16" s="215">
        <f>'1.Custom Finish Financial Data'!C13</f>
        <v>315000</v>
      </c>
      <c r="E16" s="96" t="s">
        <v>24</v>
      </c>
      <c r="F16" s="283">
        <f>'1.Custom Finish Financial Data'!C12</f>
        <v>4</v>
      </c>
      <c r="G16" s="47"/>
      <c r="H16" s="226"/>
      <c r="I16" s="226"/>
      <c r="J16" s="226"/>
      <c r="K16" s="47"/>
      <c r="L16" s="75"/>
      <c r="M16" s="72"/>
      <c r="N16" s="10"/>
    </row>
    <row r="17" spans="2:17" ht="17.600000000000001" x14ac:dyDescent="0.4">
      <c r="B17" t="s">
        <v>76</v>
      </c>
      <c r="C17" s="46" t="s">
        <v>35</v>
      </c>
      <c r="D17" s="65">
        <f>IF(D15=0,0,D16/D15)</f>
        <v>1400</v>
      </c>
      <c r="E17" s="32"/>
      <c r="F17" s="47"/>
      <c r="G17" s="47"/>
      <c r="H17" s="226"/>
      <c r="I17" s="226"/>
      <c r="J17" s="226"/>
      <c r="K17" s="47"/>
      <c r="L17" s="76"/>
      <c r="M17" s="72"/>
      <c r="N17" s="10"/>
    </row>
    <row r="18" spans="2:17" ht="17.600000000000001" x14ac:dyDescent="0.4">
      <c r="B18" s="2" t="s">
        <v>216</v>
      </c>
      <c r="C18" s="46" t="s">
        <v>28</v>
      </c>
      <c r="D18" s="66">
        <f>D16-D9</f>
        <v>185000</v>
      </c>
      <c r="E18" t="s">
        <v>77</v>
      </c>
      <c r="F18" s="65">
        <f>IF(D15=0,0,(D18/F8))</f>
        <v>814.97797356828198</v>
      </c>
      <c r="G18" s="47"/>
      <c r="H18" s="282">
        <f>F8</f>
        <v>227</v>
      </c>
      <c r="I18" s="281" t="s">
        <v>233</v>
      </c>
      <c r="J18" s="226"/>
      <c r="K18" s="47"/>
      <c r="L18" s="70"/>
      <c r="M18" s="4"/>
      <c r="N18" s="4"/>
    </row>
    <row r="19" spans="2:17" ht="17.600000000000001" x14ac:dyDescent="0.4">
      <c r="B19" s="40" t="s">
        <v>215</v>
      </c>
      <c r="C19" s="46" t="s">
        <v>43</v>
      </c>
      <c r="D19" s="199">
        <f>IF(D11=0,0,((D16-D9)/D11))</f>
        <v>3.2153223143368614</v>
      </c>
      <c r="F19" s="47"/>
      <c r="G19" s="47"/>
      <c r="H19" s="226"/>
      <c r="I19" s="226"/>
      <c r="J19" s="226"/>
      <c r="K19" s="47"/>
      <c r="L19" s="60"/>
      <c r="M19" s="4"/>
      <c r="N19" s="4"/>
    </row>
    <row r="20" spans="2:17" x14ac:dyDescent="0.35">
      <c r="B20" s="64" t="s">
        <v>98</v>
      </c>
      <c r="C20" s="64"/>
      <c r="D20" s="64"/>
      <c r="E20" s="64"/>
      <c r="F20" s="64"/>
      <c r="G20" s="64"/>
      <c r="H20" s="64"/>
      <c r="I20" s="64"/>
      <c r="J20" s="64"/>
      <c r="K20" s="64"/>
      <c r="L20" s="61"/>
      <c r="M20" s="72"/>
      <c r="N20" s="62"/>
    </row>
    <row r="21" spans="2:17" ht="15.45" x14ac:dyDescent="0.4">
      <c r="B21" s="103" t="s">
        <v>83</v>
      </c>
      <c r="C21" s="72"/>
      <c r="D21" s="11" t="s">
        <v>1</v>
      </c>
      <c r="E21" s="104" t="s">
        <v>87</v>
      </c>
      <c r="F21" s="11" t="s">
        <v>6</v>
      </c>
      <c r="K21" s="14" t="s">
        <v>86</v>
      </c>
      <c r="L21" s="77"/>
      <c r="M21" s="72"/>
    </row>
    <row r="22" spans="2:17" x14ac:dyDescent="0.35">
      <c r="B22" s="4" t="s">
        <v>84</v>
      </c>
      <c r="C22" s="14" t="s">
        <v>5</v>
      </c>
      <c r="D22" s="31">
        <f>F22/D15</f>
        <v>1600.0617333333334</v>
      </c>
      <c r="E22" s="5">
        <f>(F22/D16)*100</f>
        <v>114.29012380952382</v>
      </c>
      <c r="F22" s="105">
        <f>'1.Custom Finish Financial Data'!C26</f>
        <v>360013.89</v>
      </c>
      <c r="L22" s="14"/>
    </row>
    <row r="23" spans="2:17" x14ac:dyDescent="0.35">
      <c r="B23" s="99"/>
      <c r="C23" s="100"/>
      <c r="D23" s="101"/>
      <c r="E23" s="101"/>
    </row>
    <row r="24" spans="2:17" ht="15.45" x14ac:dyDescent="0.4">
      <c r="B24" s="153" t="s">
        <v>85</v>
      </c>
      <c r="C24" s="156"/>
      <c r="D24" s="157">
        <f>D22-F23</f>
        <v>1600.0617333333334</v>
      </c>
      <c r="E24" s="158">
        <f>(F24/D16)*100</f>
        <v>114.29012380952382</v>
      </c>
      <c r="F24" s="159">
        <f>F22-F23</f>
        <v>360013.89</v>
      </c>
    </row>
    <row r="25" spans="2:17" ht="15.45" x14ac:dyDescent="0.4">
      <c r="B25" s="10" t="s">
        <v>88</v>
      </c>
      <c r="C25" s="4"/>
      <c r="D25" s="11"/>
      <c r="E25" s="4"/>
      <c r="F25" s="4"/>
      <c r="H25" s="1" t="s">
        <v>141</v>
      </c>
      <c r="I25" s="1" t="s">
        <v>141</v>
      </c>
      <c r="K25" s="11"/>
    </row>
    <row r="26" spans="2:17" ht="15.45" x14ac:dyDescent="0.4">
      <c r="B26" s="73" t="s">
        <v>230</v>
      </c>
      <c r="C26" s="14"/>
      <c r="D26" s="11" t="s">
        <v>1</v>
      </c>
      <c r="E26" s="11" t="s">
        <v>89</v>
      </c>
      <c r="F26" s="11" t="s">
        <v>6</v>
      </c>
      <c r="G26" s="11" t="s">
        <v>113</v>
      </c>
      <c r="H26" s="1" t="s">
        <v>142</v>
      </c>
      <c r="J26" s="228"/>
    </row>
    <row r="27" spans="2:17" ht="15.45" x14ac:dyDescent="0.4">
      <c r="B27" s="10" t="str">
        <f>'1.Custom Finish Financial Data'!E29</f>
        <v>Feedyard Priced</v>
      </c>
      <c r="C27" s="150" t="s">
        <v>47</v>
      </c>
      <c r="D27" s="166">
        <f>E27*F9*0.01</f>
        <v>837.00440528634351</v>
      </c>
      <c r="E27" s="165">
        <f>F27/D9*100</f>
        <v>146.15384615384613</v>
      </c>
      <c r="F27" s="161">
        <f>'1.Custom Finish Financial Data'!C30+'1.Custom Finish Financial Data'!C31+'1.Custom Finish Financial Data'!C32</f>
        <v>190000</v>
      </c>
      <c r="G27" s="10" t="s">
        <v>191</v>
      </c>
      <c r="H27" s="229">
        <f>F27/$F$8</f>
        <v>837.00440528634363</v>
      </c>
      <c r="I27" s="230">
        <f>H27/$H$46</f>
        <v>0.55207056972811119</v>
      </c>
      <c r="K27" s="14" t="s">
        <v>114</v>
      </c>
    </row>
    <row r="28" spans="2:17" ht="15.45" x14ac:dyDescent="0.4">
      <c r="C28" s="14"/>
      <c r="D28" s="15"/>
      <c r="E28" s="9"/>
      <c r="F28" s="105"/>
      <c r="H28" s="231"/>
      <c r="I28" s="231"/>
      <c r="K28" s="16"/>
    </row>
    <row r="29" spans="2:17" x14ac:dyDescent="0.35">
      <c r="B29" s="2"/>
      <c r="C29" s="14"/>
      <c r="D29" s="78" t="s">
        <v>50</v>
      </c>
      <c r="E29" s="67" t="s">
        <v>51</v>
      </c>
      <c r="F29" s="4"/>
      <c r="G29" s="16"/>
      <c r="H29" s="1" t="s">
        <v>142</v>
      </c>
      <c r="J29" s="16"/>
      <c r="K29" s="16"/>
      <c r="M29" s="83"/>
      <c r="Q29" s="18"/>
    </row>
    <row r="30" spans="2:17" x14ac:dyDescent="0.35">
      <c r="B30" s="2" t="s">
        <v>266</v>
      </c>
      <c r="C30" s="19" t="s">
        <v>8</v>
      </c>
      <c r="D30" s="20">
        <f>F18</f>
        <v>814.97797356828198</v>
      </c>
      <c r="E30" s="5">
        <f>F30/D18</f>
        <v>0.75574005405405409</v>
      </c>
      <c r="F30" s="36">
        <f>'1.Custom Finish Financial Data'!C34</f>
        <v>139811.91</v>
      </c>
      <c r="G30" s="5">
        <f t="shared" ref="G30:G35" si="0">IF(F30=0," ",F30/$D$18)</f>
        <v>0.75574005405405409</v>
      </c>
      <c r="H30" s="229">
        <f t="shared" ref="H30:H36" si="1">F30/$F$8</f>
        <v>615.91149779735679</v>
      </c>
      <c r="I30" s="230">
        <f>H30/$H$46</f>
        <v>0.40624232004460731</v>
      </c>
      <c r="J30" s="5"/>
      <c r="K30" s="16"/>
      <c r="L30" s="26"/>
      <c r="M30" s="87"/>
      <c r="N30" s="48"/>
      <c r="O30" s="89"/>
      <c r="P30" s="89"/>
    </row>
    <row r="31" spans="2:17" x14ac:dyDescent="0.35">
      <c r="B31" s="35" t="str">
        <f>'1.Custom Finish Financial Data'!B35</f>
        <v>Processing</v>
      </c>
      <c r="C31" s="79" t="s">
        <v>10</v>
      </c>
      <c r="D31" s="68">
        <f t="shared" ref="D31:D35" si="2">F$8</f>
        <v>227</v>
      </c>
      <c r="E31" s="5">
        <f t="shared" ref="E31:E35" si="3">F31/D31</f>
        <v>15.109251101321586</v>
      </c>
      <c r="F31" s="36">
        <f>'1.Custom Finish Financial Data'!C35</f>
        <v>3429.8</v>
      </c>
      <c r="G31" s="5">
        <f t="shared" si="0"/>
        <v>1.8539459459459461E-2</v>
      </c>
      <c r="H31" s="229">
        <f t="shared" si="1"/>
        <v>15.109251101321586</v>
      </c>
      <c r="I31" s="230">
        <f>H31/$H$46</f>
        <v>9.9657454739656617E-3</v>
      </c>
      <c r="J31" s="5"/>
      <c r="K31" s="16"/>
      <c r="L31" s="93">
        <f>'2. Finished Cattle Close Out'!F11</f>
        <v>253.46696035242292</v>
      </c>
      <c r="M31" s="2" t="s">
        <v>195</v>
      </c>
      <c r="Q31" s="17"/>
    </row>
    <row r="32" spans="2:17" x14ac:dyDescent="0.35">
      <c r="B32" s="35" t="str">
        <f>'1.Custom Finish Financial Data'!B36</f>
        <v>Vet Medicine</v>
      </c>
      <c r="C32" s="79" t="s">
        <v>10</v>
      </c>
      <c r="D32" s="68">
        <f t="shared" si="2"/>
        <v>227</v>
      </c>
      <c r="E32" s="5">
        <f t="shared" si="3"/>
        <v>1.3809251101321587</v>
      </c>
      <c r="F32" s="36">
        <f>'1.Custom Finish Financial Data'!C36</f>
        <v>313.47000000000003</v>
      </c>
      <c r="G32" s="5">
        <f t="shared" si="0"/>
        <v>1.6944324324324326E-3</v>
      </c>
      <c r="H32" s="229">
        <f t="shared" si="1"/>
        <v>1.3809251101321587</v>
      </c>
      <c r="I32" s="230">
        <f>H32/$H$46</f>
        <v>9.1082927101405792E-4</v>
      </c>
      <c r="J32" s="5"/>
      <c r="K32" s="16"/>
      <c r="L32" s="32">
        <f>H11</f>
        <v>293</v>
      </c>
      <c r="M32" s="2" t="s">
        <v>236</v>
      </c>
      <c r="Q32" s="17"/>
    </row>
    <row r="33" spans="2:17" x14ac:dyDescent="0.35">
      <c r="B33" s="35" t="str">
        <f>'1.Custom Finish Financial Data'!B37</f>
        <v>Hay</v>
      </c>
      <c r="C33" s="79" t="s">
        <v>10</v>
      </c>
      <c r="D33" s="68">
        <f t="shared" ref="D33:D34" si="4">F$8</f>
        <v>227</v>
      </c>
      <c r="E33" s="5">
        <f t="shared" ref="E33:E34" si="5">F33/D33</f>
        <v>0.96079295154185018</v>
      </c>
      <c r="F33" s="36">
        <f>'1.Custom Finish Financial Data'!C37</f>
        <v>218.1</v>
      </c>
      <c r="G33" s="5">
        <f t="shared" ref="G33:G34" si="6">IF(F33=0," ",F33/$D$18)</f>
        <v>1.178918918918919E-3</v>
      </c>
      <c r="H33" s="229">
        <f t="shared" ref="H33:H34" si="7">F33/$F$8</f>
        <v>0.96079295154185018</v>
      </c>
      <c r="I33" s="230">
        <f t="shared" ref="I33:I34" si="8">H33/$H$46</f>
        <v>6.337189013563212E-4</v>
      </c>
      <c r="J33" s="5"/>
      <c r="K33" s="16"/>
      <c r="L33" s="32"/>
      <c r="M33" s="2"/>
      <c r="Q33" s="17"/>
    </row>
    <row r="34" spans="2:17" x14ac:dyDescent="0.35">
      <c r="B34" s="35" t="str">
        <f>'1.Custom Finish Financial Data'!B38</f>
        <v>Fees&amp; Other</v>
      </c>
      <c r="C34" s="79" t="s">
        <v>10</v>
      </c>
      <c r="D34" s="68">
        <f t="shared" si="4"/>
        <v>227</v>
      </c>
      <c r="E34" s="5">
        <f t="shared" si="5"/>
        <v>1.353171806167401</v>
      </c>
      <c r="F34" s="36">
        <f>'1.Custom Finish Financial Data'!C38</f>
        <v>307.17</v>
      </c>
      <c r="G34" s="5">
        <f t="shared" si="6"/>
        <v>1.6603783783783784E-3</v>
      </c>
      <c r="H34" s="229">
        <f t="shared" si="7"/>
        <v>1.353171806167401</v>
      </c>
      <c r="I34" s="230">
        <f t="shared" si="8"/>
        <v>8.9252377317570477E-4</v>
      </c>
      <c r="J34" s="5"/>
      <c r="K34" s="16"/>
      <c r="L34" s="32"/>
      <c r="M34" s="2"/>
      <c r="Q34" s="17"/>
    </row>
    <row r="35" spans="2:17" x14ac:dyDescent="0.35">
      <c r="B35" s="35" t="str">
        <f>'1.Custom Finish Financial Data'!B39</f>
        <v>Grain Adjustment</v>
      </c>
      <c r="C35" s="79" t="s">
        <v>10</v>
      </c>
      <c r="D35" s="68">
        <f t="shared" si="2"/>
        <v>227</v>
      </c>
      <c r="E35" s="5">
        <f t="shared" si="3"/>
        <v>-1.8570484581497797</v>
      </c>
      <c r="F35" s="36">
        <f>'1.Custom Finish Financial Data'!C39</f>
        <v>-421.55</v>
      </c>
      <c r="G35" s="5">
        <f t="shared" si="0"/>
        <v>-2.2786486486486486E-3</v>
      </c>
      <c r="H35" s="229">
        <f t="shared" si="1"/>
        <v>-1.8570484581497797</v>
      </c>
      <c r="I35" s="230">
        <f>H35/$H$46</f>
        <v>-1.2248702561520276E-3</v>
      </c>
      <c r="J35" s="5"/>
      <c r="K35" s="16"/>
      <c r="Q35" s="17"/>
    </row>
    <row r="36" spans="2:17" ht="15.45" x14ac:dyDescent="0.4">
      <c r="B36" s="162" t="s">
        <v>90</v>
      </c>
      <c r="C36" s="154"/>
      <c r="D36" s="154"/>
      <c r="E36" s="154"/>
      <c r="F36" s="163">
        <f>SUM(F27:F35)</f>
        <v>333658.89999999997</v>
      </c>
      <c r="G36" s="16"/>
      <c r="H36" s="12">
        <f t="shared" si="1"/>
        <v>1469.8629955947135</v>
      </c>
      <c r="I36" s="230">
        <f>H36/$H$46</f>
        <v>0.96949083693607818</v>
      </c>
      <c r="J36" s="16"/>
      <c r="K36" s="16"/>
      <c r="L36" s="4" t="s">
        <v>94</v>
      </c>
      <c r="M36" s="4" t="s">
        <v>94</v>
      </c>
    </row>
    <row r="37" spans="2:17" ht="15.45" x14ac:dyDescent="0.4">
      <c r="B37" s="35" t="s">
        <v>93</v>
      </c>
      <c r="F37" s="163">
        <f>F36-F27</f>
        <v>143658.89999999997</v>
      </c>
      <c r="G37" s="166">
        <f>IF(F37=0," ",F37/$D$18)</f>
        <v>0.7765345945945944</v>
      </c>
      <c r="H37" s="231"/>
      <c r="I37" s="231"/>
      <c r="J37" s="16"/>
      <c r="K37" s="16"/>
      <c r="L37" s="18">
        <f>(F37+F39)*0.5*((L32/365))</f>
        <v>58061.722876712316</v>
      </c>
      <c r="M37" t="s">
        <v>7</v>
      </c>
    </row>
    <row r="38" spans="2:17" ht="15.45" x14ac:dyDescent="0.4">
      <c r="B38" s="98"/>
      <c r="C38" s="79"/>
      <c r="D38" s="68"/>
      <c r="E38" s="5"/>
      <c r="F38" s="106"/>
      <c r="G38" s="16"/>
      <c r="H38" s="231"/>
      <c r="I38" s="231"/>
      <c r="J38" s="16"/>
      <c r="K38" s="16"/>
    </row>
    <row r="39" spans="2:17" ht="15.45" x14ac:dyDescent="0.4">
      <c r="B39" s="162" t="s">
        <v>140</v>
      </c>
      <c r="C39" s="223" t="s">
        <v>10</v>
      </c>
      <c r="D39" s="224">
        <f>F$8</f>
        <v>227</v>
      </c>
      <c r="E39" s="15">
        <f>F39/D39</f>
        <v>4.4052863436123344</v>
      </c>
      <c r="F39" s="225">
        <f>'1.Custom Finish Financial Data'!C41</f>
        <v>1000</v>
      </c>
      <c r="G39" s="5">
        <f>IF(F39=0," ",F39/$D$18)</f>
        <v>5.4054054054054057E-3</v>
      </c>
      <c r="H39" s="15">
        <f>F39/$F$8</f>
        <v>4.4052863436123344</v>
      </c>
      <c r="I39" s="230">
        <f>H39/$H$46</f>
        <v>2.905634577516374E-3</v>
      </c>
      <c r="J39" s="5"/>
      <c r="P39" s="26"/>
    </row>
    <row r="40" spans="2:17" ht="15.45" x14ac:dyDescent="0.4">
      <c r="B40" s="293"/>
      <c r="D40" s="11" t="s">
        <v>42</v>
      </c>
      <c r="E40" s="11" t="s">
        <v>87</v>
      </c>
      <c r="F40" s="11" t="s">
        <v>6</v>
      </c>
      <c r="L40" s="18">
        <f>(F27)*((L32/365))</f>
        <v>152520.54794520547</v>
      </c>
      <c r="M40" t="s">
        <v>9</v>
      </c>
      <c r="N40" s="88"/>
      <c r="O40" s="26"/>
      <c r="P40" s="26"/>
      <c r="Q40" s="69"/>
    </row>
    <row r="41" spans="2:17" ht="15.45" x14ac:dyDescent="0.4">
      <c r="B41" s="153" t="s">
        <v>31</v>
      </c>
      <c r="C41" s="160"/>
      <c r="D41" s="165">
        <f>F41/$D$15</f>
        <v>1487.3728888888888</v>
      </c>
      <c r="E41" s="166">
        <f>F41/$D$16*100</f>
        <v>106.24092063492063</v>
      </c>
      <c r="F41" s="167">
        <f>F36+F39</f>
        <v>334658.89999999997</v>
      </c>
      <c r="G41" s="12"/>
      <c r="H41" s="12">
        <f>F41/$F$8</f>
        <v>1474.2682819383258</v>
      </c>
      <c r="I41" s="230">
        <f>H41/$H$46</f>
        <v>0.97239647151359443</v>
      </c>
      <c r="J41" s="12"/>
      <c r="L41" s="271">
        <f>(L37+L40)</f>
        <v>210582.2708219178</v>
      </c>
      <c r="M41" s="2" t="s">
        <v>184</v>
      </c>
      <c r="Q41" s="69"/>
    </row>
    <row r="42" spans="2:17" x14ac:dyDescent="0.35">
      <c r="L42">
        <f>E51</f>
        <v>25</v>
      </c>
      <c r="M42" s="2" t="s">
        <v>310</v>
      </c>
    </row>
    <row r="43" spans="2:17" ht="15.45" x14ac:dyDescent="0.4">
      <c r="B43" s="10" t="s">
        <v>91</v>
      </c>
      <c r="C43" s="14" t="s">
        <v>5</v>
      </c>
      <c r="D43" s="14"/>
      <c r="E43" s="4"/>
      <c r="F43" s="14" t="s">
        <v>6</v>
      </c>
      <c r="I43" s="12"/>
      <c r="K43" s="12"/>
      <c r="L43" s="147">
        <f>L41*L42*0.01</f>
        <v>52645.567705479451</v>
      </c>
      <c r="M43" s="2" t="s">
        <v>311</v>
      </c>
    </row>
    <row r="44" spans="2:17" ht="15.45" x14ac:dyDescent="0.4">
      <c r="B44" s="153" t="s">
        <v>48</v>
      </c>
      <c r="C44" s="151" t="s">
        <v>49</v>
      </c>
      <c r="D44" s="165">
        <f>F44/$D$15</f>
        <v>42.222222222222221</v>
      </c>
      <c r="E44" s="166">
        <f>F44/$D$16*100</f>
        <v>3.0158730158730158</v>
      </c>
      <c r="F44" s="295">
        <f>'1.Custom Finish Financial Data'!C43</f>
        <v>9500</v>
      </c>
      <c r="G44" s="247">
        <f>IF(F44=0," ",F44/$D$18)</f>
        <v>5.1351351351351354E-2</v>
      </c>
      <c r="H44" s="296">
        <f t="shared" ref="H44" si="9">F44/$F$8</f>
        <v>41.85022026431718</v>
      </c>
      <c r="I44" s="12"/>
      <c r="J44" s="5"/>
      <c r="K44" s="12"/>
    </row>
    <row r="45" spans="2:17" ht="15.45" x14ac:dyDescent="0.4">
      <c r="B45" s="4"/>
      <c r="C45" s="4"/>
      <c r="D45" s="11" t="s">
        <v>42</v>
      </c>
      <c r="E45" s="11" t="s">
        <v>87</v>
      </c>
      <c r="G45" s="16"/>
      <c r="H45" s="231"/>
      <c r="J45" s="16"/>
      <c r="Q45" s="21"/>
    </row>
    <row r="46" spans="2:17" ht="15.45" x14ac:dyDescent="0.4">
      <c r="B46" s="153" t="s">
        <v>92</v>
      </c>
      <c r="C46" s="151" t="s">
        <v>5</v>
      </c>
      <c r="D46" s="165">
        <f>F46/$D$15</f>
        <v>1529.595111111111</v>
      </c>
      <c r="E46" s="166">
        <f>F46/$D$16*100</f>
        <v>109.25679365079364</v>
      </c>
      <c r="F46" s="164">
        <f>F41+F44</f>
        <v>344158.89999999997</v>
      </c>
      <c r="G46" s="247">
        <f>IF(F46=0," ",(F46-F27)/$D$18)</f>
        <v>0.83329135135135113</v>
      </c>
      <c r="H46" s="232">
        <f>F46/$F$8</f>
        <v>1516.118502202643</v>
      </c>
      <c r="I46" s="230">
        <f>H46/$H$46</f>
        <v>1</v>
      </c>
      <c r="J46" s="5"/>
      <c r="Q46" s="21"/>
    </row>
    <row r="47" spans="2:17" x14ac:dyDescent="0.35">
      <c r="B47" s="291" t="str">
        <f>'1.Custom Finish Financial Data'!E29</f>
        <v>Feedyard Priced</v>
      </c>
      <c r="G47" s="14"/>
      <c r="H47" s="1" t="s">
        <v>142</v>
      </c>
      <c r="J47" s="14"/>
      <c r="Q47" s="22"/>
    </row>
    <row r="48" spans="2:17" ht="15.45" x14ac:dyDescent="0.4">
      <c r="B48" s="153" t="s">
        <v>154</v>
      </c>
      <c r="C48" s="154"/>
      <c r="D48" s="152">
        <f>F48/$D$15</f>
        <v>70.466622222222441</v>
      </c>
      <c r="E48" s="235">
        <f>(F48/($D$16*0.001))</f>
        <v>50.33330158730174</v>
      </c>
      <c r="F48" s="152">
        <f>F24-F46</f>
        <v>15854.990000000049</v>
      </c>
      <c r="G48" s="14"/>
      <c r="H48" s="236">
        <f>F48/$F$8</f>
        <v>69.845770925110344</v>
      </c>
      <c r="J48" s="14"/>
      <c r="Q48" s="22"/>
    </row>
    <row r="49" spans="1:18" ht="15.45" x14ac:dyDescent="0.4">
      <c r="F49" s="107"/>
      <c r="G49" s="14"/>
      <c r="H49" s="1"/>
      <c r="J49" s="14"/>
      <c r="Q49" s="22"/>
    </row>
    <row r="50" spans="1:18" ht="15.45" x14ac:dyDescent="0.4">
      <c r="B50" s="153" t="s">
        <v>95</v>
      </c>
      <c r="C50" s="151" t="s">
        <v>96</v>
      </c>
      <c r="D50" s="154"/>
      <c r="E50" s="154"/>
      <c r="F50" s="168">
        <f>IF(L41=0,0,((F48+F44)/L41))</f>
        <v>0.12040420070045638</v>
      </c>
      <c r="G50" s="14"/>
      <c r="H50" s="14"/>
      <c r="I50" s="14"/>
      <c r="J50" s="14"/>
      <c r="Q50" s="22"/>
    </row>
    <row r="51" spans="1:18" ht="15.45" x14ac:dyDescent="0.4">
      <c r="B51" s="153" t="s">
        <v>309</v>
      </c>
      <c r="C51" s="151" t="s">
        <v>96</v>
      </c>
      <c r="D51" s="154" t="s">
        <v>310</v>
      </c>
      <c r="E51" s="315">
        <v>25</v>
      </c>
      <c r="F51" s="168">
        <f>IF(L43=0,0,((F48+F44)/L43))</f>
        <v>0.48161680280182551</v>
      </c>
      <c r="G51" s="14"/>
      <c r="H51" s="14"/>
      <c r="I51" s="14"/>
      <c r="J51" s="14"/>
      <c r="Q51" s="22"/>
    </row>
    <row r="52" spans="1:18" ht="15.45" x14ac:dyDescent="0.4">
      <c r="A52" s="314"/>
      <c r="B52" s="10" t="s">
        <v>143</v>
      </c>
      <c r="F52" s="107"/>
      <c r="G52" s="107"/>
      <c r="H52" s="107"/>
      <c r="I52" s="107"/>
      <c r="J52" s="107"/>
      <c r="Q52" s="22"/>
    </row>
    <row r="53" spans="1:18" x14ac:dyDescent="0.35">
      <c r="G53" s="14"/>
      <c r="H53" s="14"/>
      <c r="I53" s="14"/>
      <c r="J53" s="14"/>
      <c r="Q53" s="22"/>
    </row>
    <row r="54" spans="1:18" x14ac:dyDescent="0.35">
      <c r="B54" s="40" t="s">
        <v>238</v>
      </c>
      <c r="C54" s="108" t="s">
        <v>101</v>
      </c>
      <c r="D54" s="13">
        <f>D15</f>
        <v>225</v>
      </c>
      <c r="G54" s="245"/>
      <c r="H54" s="255"/>
      <c r="I54" s="1"/>
      <c r="J54" s="14"/>
      <c r="Q54" s="22"/>
    </row>
    <row r="55" spans="1:18" ht="15.45" x14ac:dyDescent="0.4">
      <c r="B55" s="108" t="s">
        <v>58</v>
      </c>
      <c r="C55" s="80" t="s">
        <v>59</v>
      </c>
      <c r="D55" s="5">
        <f>((F37+F39+F44)/D15)</f>
        <v>685.15066666666655</v>
      </c>
      <c r="K55" s="10"/>
      <c r="Q55" s="22"/>
    </row>
    <row r="56" spans="1:18" ht="15.45" x14ac:dyDescent="0.4">
      <c r="B56" s="108" t="s">
        <v>52</v>
      </c>
      <c r="C56" s="151" t="s">
        <v>2</v>
      </c>
      <c r="D56" s="166">
        <f>(F37+F39+F44)/D18*100</f>
        <v>83.329135135135118</v>
      </c>
      <c r="K56" s="10"/>
      <c r="N56" s="11" t="s">
        <v>45</v>
      </c>
      <c r="Q56" s="22"/>
    </row>
    <row r="57" spans="1:18" ht="15.45" x14ac:dyDescent="0.4">
      <c r="B57" s="108"/>
      <c r="C57" s="14"/>
      <c r="D57" s="5"/>
      <c r="K57" s="10"/>
      <c r="N57" s="11"/>
      <c r="Q57" s="22"/>
    </row>
    <row r="58" spans="1:18" ht="15.45" x14ac:dyDescent="0.4">
      <c r="B58" s="108" t="s">
        <v>26</v>
      </c>
      <c r="C58" s="234" t="s">
        <v>150</v>
      </c>
      <c r="D58" s="247">
        <f>((F24-F27)/D18)</f>
        <v>0.91899400000000009</v>
      </c>
      <c r="E58" s="178" t="s">
        <v>149</v>
      </c>
      <c r="F58" s="246">
        <f>G46</f>
        <v>0.83329135135135113</v>
      </c>
      <c r="G58" s="5"/>
      <c r="H58" s="5"/>
      <c r="I58" s="5"/>
      <c r="J58" s="5"/>
      <c r="M58" s="145" t="s">
        <v>61</v>
      </c>
      <c r="N58" s="7">
        <f>F8*F9</f>
        <v>130000</v>
      </c>
      <c r="Q58" s="23"/>
    </row>
    <row r="59" spans="1:18" ht="15.45" x14ac:dyDescent="0.4">
      <c r="B59" s="10"/>
      <c r="C59" s="4"/>
      <c r="D59" s="15"/>
      <c r="G59" s="12"/>
      <c r="H59" s="12"/>
      <c r="I59" s="12"/>
      <c r="J59" s="12"/>
      <c r="M59" s="145" t="s">
        <v>13</v>
      </c>
      <c r="N59" s="7">
        <f>D16</f>
        <v>315000</v>
      </c>
      <c r="Q59" s="22"/>
    </row>
    <row r="60" spans="1:18" ht="15.45" x14ac:dyDescent="0.4">
      <c r="B60" s="108" t="s">
        <v>53</v>
      </c>
      <c r="C60" s="14" t="s">
        <v>1</v>
      </c>
      <c r="D60" s="86">
        <f>((F8*F9*0.01)*(E24-E27)/D15)</f>
        <v>-184.10150687830668</v>
      </c>
      <c r="F60" s="250">
        <f>E24</f>
        <v>114.29012380952382</v>
      </c>
      <c r="G60" s="85"/>
      <c r="H60" s="85"/>
      <c r="I60" s="85"/>
      <c r="J60" s="85"/>
      <c r="M60" s="145" t="s">
        <v>14</v>
      </c>
      <c r="N60" s="7">
        <f>N59-N58</f>
        <v>185000</v>
      </c>
      <c r="Q60" s="24"/>
      <c r="R60" s="24"/>
    </row>
    <row r="61" spans="1:18" ht="15.45" x14ac:dyDescent="0.4">
      <c r="B61" s="108" t="s">
        <v>115</v>
      </c>
      <c r="C61" s="14" t="s">
        <v>1</v>
      </c>
      <c r="D61" s="110">
        <f>(((E24-D56)*D18*0.01)/D15)</f>
        <v>254.56812910052932</v>
      </c>
      <c r="F61" s="26">
        <f>E27</f>
        <v>146.15384615384613</v>
      </c>
      <c r="G61" s="85"/>
      <c r="H61" s="85"/>
      <c r="I61" s="85"/>
      <c r="J61" s="85"/>
      <c r="M61" s="145" t="s">
        <v>15</v>
      </c>
      <c r="N61" s="24">
        <f>F37+F39+F44</f>
        <v>154158.89999999997</v>
      </c>
      <c r="Q61" s="24"/>
      <c r="R61" s="24"/>
    </row>
    <row r="62" spans="1:18" ht="15.45" x14ac:dyDescent="0.4">
      <c r="B62" s="10" t="s">
        <v>54</v>
      </c>
      <c r="C62" s="150" t="s">
        <v>1</v>
      </c>
      <c r="D62" s="169">
        <f>F48/D15</f>
        <v>70.466622222222441</v>
      </c>
      <c r="F62" s="23">
        <f>F8</f>
        <v>227</v>
      </c>
      <c r="G62" s="85"/>
      <c r="H62" s="85"/>
      <c r="I62" s="85"/>
      <c r="J62" s="85"/>
      <c r="Q62" s="24"/>
      <c r="R62" s="24"/>
    </row>
    <row r="63" spans="1:18" ht="15.45" x14ac:dyDescent="0.4">
      <c r="B63" s="10"/>
      <c r="C63" s="102"/>
      <c r="D63" s="38" t="s">
        <v>40</v>
      </c>
      <c r="E63" s="38" t="s">
        <v>39</v>
      </c>
      <c r="F63" s="22">
        <f>F9</f>
        <v>572.68722466960355</v>
      </c>
    </row>
    <row r="64" spans="1:18" ht="15.45" x14ac:dyDescent="0.4">
      <c r="B64" s="111" t="s">
        <v>38</v>
      </c>
      <c r="C64" s="33">
        <f>E64-D64</f>
        <v>-31.863722344322312</v>
      </c>
      <c r="D64" s="251">
        <f>E27</f>
        <v>146.15384615384613</v>
      </c>
      <c r="E64" s="251">
        <f>E24</f>
        <v>114.29012380952382</v>
      </c>
    </row>
    <row r="65" spans="2:4" ht="15.45" x14ac:dyDescent="0.4">
      <c r="B65" s="10" t="s">
        <v>97</v>
      </c>
    </row>
    <row r="67" spans="2:4" x14ac:dyDescent="0.35">
      <c r="D67" s="27"/>
    </row>
  </sheetData>
  <sheetProtection sheet="1" objects="1" scenarios="1"/>
  <mergeCells count="1">
    <mergeCell ref="B1:G1"/>
  </mergeCells>
  <phoneticPr fontId="10" type="noConversion"/>
  <printOptions gridLines="1"/>
  <pageMargins left="1" right="0.5" top="1" bottom="1" header="0.5" footer="0.5"/>
  <pageSetup scale="65" orientation="portrait" r:id="rId1"/>
  <headerFooter alignWithMargins="0">
    <oddFooter xml:space="preserve">&amp;L&amp;F&amp;R&amp;A
</oddFooter>
  </headerFooter>
  <rowBreaks count="1" manualBreakCount="1">
    <brk id="51" min="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S38"/>
  <sheetViews>
    <sheetView workbookViewId="0">
      <selection activeCell="A16" sqref="A16"/>
    </sheetView>
  </sheetViews>
  <sheetFormatPr defaultRowHeight="15" x14ac:dyDescent="0.35"/>
  <cols>
    <col min="1" max="1" width="3.0625" customWidth="1"/>
    <col min="2" max="2" width="30.0625" customWidth="1"/>
    <col min="3" max="3" width="10.875" customWidth="1"/>
    <col min="7" max="7" width="12.875" customWidth="1"/>
  </cols>
  <sheetData>
    <row r="2" spans="2:19" ht="15.45" x14ac:dyDescent="0.4">
      <c r="B2" s="10"/>
    </row>
    <row r="5" spans="2:19" x14ac:dyDescent="0.35">
      <c r="G5" s="146"/>
      <c r="H5" s="146"/>
      <c r="I5" s="146"/>
      <c r="J5" s="146"/>
    </row>
    <row r="6" spans="2:19" x14ac:dyDescent="0.35">
      <c r="G6" s="146"/>
      <c r="H6" s="146"/>
      <c r="I6" s="146"/>
      <c r="J6" s="146"/>
      <c r="N6" s="2" t="s">
        <v>231</v>
      </c>
    </row>
    <row r="7" spans="2:19" x14ac:dyDescent="0.35">
      <c r="N7" t="s">
        <v>83</v>
      </c>
      <c r="O7" t="s">
        <v>119</v>
      </c>
      <c r="P7" s="2" t="s">
        <v>156</v>
      </c>
      <c r="Q7" t="s">
        <v>120</v>
      </c>
    </row>
    <row r="8" spans="2:19" ht="15.45" x14ac:dyDescent="0.4">
      <c r="L8" s="147"/>
      <c r="M8" t="s">
        <v>1</v>
      </c>
      <c r="N8" s="148">
        <f>'2. Finished Cattle Close Out'!D22</f>
        <v>1600.0617333333334</v>
      </c>
      <c r="O8" s="148">
        <f>'2. Finished Cattle Close Out'!D27</f>
        <v>837.00440528634351</v>
      </c>
      <c r="P8" s="148">
        <f>'2. Finished Cattle Close Out'!D46-'2. Finished Cattle Close Out'!F27/'2. Finished Cattle Close Out'!D15</f>
        <v>685.15066666666655</v>
      </c>
      <c r="Q8" s="148">
        <f>'2. Finished Cattle Close Out'!D48</f>
        <v>70.466622222222441</v>
      </c>
      <c r="R8" s="87"/>
      <c r="S8" s="87">
        <f>N8-O8-P8</f>
        <v>77.906661380323385</v>
      </c>
    </row>
    <row r="11" spans="2:19" x14ac:dyDescent="0.35">
      <c r="N11" t="s">
        <v>121</v>
      </c>
    </row>
    <row r="13" spans="2:19" x14ac:dyDescent="0.35">
      <c r="N13" s="2" t="s">
        <v>232</v>
      </c>
      <c r="O13" s="2" t="s">
        <v>155</v>
      </c>
      <c r="P13" t="s">
        <v>91</v>
      </c>
      <c r="Q13" t="s">
        <v>120</v>
      </c>
    </row>
    <row r="14" spans="2:19" ht="15.45" x14ac:dyDescent="0.4">
      <c r="M14" t="s">
        <v>1</v>
      </c>
      <c r="N14" s="148">
        <f>O8</f>
        <v>837.00440528634351</v>
      </c>
      <c r="O14" s="148">
        <f>'2. Finished Cattle Close Out'!D41-O8</f>
        <v>650.36848360254533</v>
      </c>
      <c r="P14" s="149">
        <f>'2. Finished Cattle Close Out'!F44/'2. Finished Cattle Close Out'!D15</f>
        <v>42.222222222222221</v>
      </c>
      <c r="Q14" s="148">
        <f>'2. Finished Cattle Close Out'!D62</f>
        <v>70.466622222222441</v>
      </c>
    </row>
    <row r="23" spans="8:10" x14ac:dyDescent="0.35">
      <c r="H23" t="str">
        <f>'4.Closeout Summary'!B31</f>
        <v xml:space="preserve"> *No Indirect Cost Included.</v>
      </c>
    </row>
    <row r="24" spans="8:10" x14ac:dyDescent="0.35">
      <c r="H24" t="str">
        <f>'2. Finished Cattle Close Out'!B27</f>
        <v>Feedyard Priced</v>
      </c>
      <c r="J24" s="2" t="s">
        <v>229</v>
      </c>
    </row>
    <row r="35" spans="8:9" x14ac:dyDescent="0.35">
      <c r="I35" s="2" t="s">
        <v>86</v>
      </c>
    </row>
    <row r="38" spans="8:9" x14ac:dyDescent="0.35">
      <c r="H38" t="str">
        <f>'4.Closeout Summary'!B31</f>
        <v xml:space="preserve"> *No Indirect Cost Included.</v>
      </c>
    </row>
  </sheetData>
  <sheetProtection sheet="1" objects="1" scenarios="1"/>
  <pageMargins left="0.7" right="0.7" top="0.75" bottom="0.75" header="0.3" footer="0.3"/>
  <pageSetup scale="92" orientation="portrait" r:id="rId1"/>
  <headerFooter>
    <oddFooter>&amp;L&amp;F&amp;R&amp;A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75"/>
  <sheetViews>
    <sheetView topLeftCell="A30" zoomScaleNormal="100" workbookViewId="0">
      <selection activeCell="B34" sqref="B34"/>
    </sheetView>
  </sheetViews>
  <sheetFormatPr defaultRowHeight="15" x14ac:dyDescent="0.35"/>
  <cols>
    <col min="1" max="1" width="3.4375" customWidth="1"/>
    <col min="2" max="2" width="34.5625" customWidth="1"/>
    <col min="3" max="3" width="17.4375" customWidth="1"/>
    <col min="4" max="5" width="10.25" customWidth="1"/>
    <col min="7" max="7" width="19" customWidth="1"/>
    <col min="8" max="8" width="10.75" customWidth="1"/>
    <col min="9" max="9" width="11.0625" customWidth="1"/>
  </cols>
  <sheetData>
    <row r="1" spans="2:9" ht="17.600000000000001" x14ac:dyDescent="0.4">
      <c r="B1" s="321" t="s">
        <v>129</v>
      </c>
      <c r="C1" s="321"/>
      <c r="D1" s="321"/>
      <c r="E1" s="330"/>
      <c r="F1" s="47"/>
      <c r="G1" s="47"/>
    </row>
    <row r="2" spans="2:9" x14ac:dyDescent="0.35">
      <c r="B2" s="40" t="s">
        <v>0</v>
      </c>
      <c r="C2" s="180">
        <f ca="1">'2. Finished Cattle Close Out'!D2</f>
        <v>44747</v>
      </c>
      <c r="G2" s="2"/>
      <c r="H2" s="1"/>
      <c r="I2" s="84"/>
    </row>
    <row r="3" spans="2:9" x14ac:dyDescent="0.35">
      <c r="B3" s="4" t="s">
        <v>102</v>
      </c>
      <c r="C3" t="str">
        <f>'2. Finished Cattle Close Out'!C4</f>
        <v>TX Feedyard</v>
      </c>
      <c r="D3" s="4" t="s">
        <v>16</v>
      </c>
      <c r="E3" s="181">
        <f>'2. Finished Cattle Close Out'!C3</f>
        <v>123</v>
      </c>
      <c r="G3" s="2"/>
      <c r="H3" s="82"/>
      <c r="I3" s="84"/>
    </row>
    <row r="4" spans="2:9" x14ac:dyDescent="0.35">
      <c r="B4" s="2" t="s">
        <v>18</v>
      </c>
      <c r="C4" s="333" t="str">
        <f>'2. Finished Cattle Close Out'!C5</f>
        <v xml:space="preserve">South TX </v>
      </c>
      <c r="D4" s="334"/>
      <c r="H4" s="14"/>
      <c r="I4" s="84"/>
    </row>
    <row r="5" spans="2:9" x14ac:dyDescent="0.35">
      <c r="B5" t="s">
        <v>81</v>
      </c>
      <c r="C5" s="139">
        <f>'2. Finished Cattle Close Out'!F8</f>
        <v>227</v>
      </c>
      <c r="D5" s="140"/>
      <c r="H5" s="14"/>
      <c r="I5" s="84"/>
    </row>
    <row r="6" spans="2:9" x14ac:dyDescent="0.35">
      <c r="B6" s="2" t="s">
        <v>192</v>
      </c>
      <c r="C6" s="141">
        <f>'2. Finished Cattle Close Out'!F13</f>
        <v>1.7621145374449341E-2</v>
      </c>
      <c r="D6" s="140"/>
      <c r="H6" s="14"/>
      <c r="I6" s="84"/>
    </row>
    <row r="7" spans="2:9" x14ac:dyDescent="0.35">
      <c r="B7" s="2" t="s">
        <v>37</v>
      </c>
      <c r="C7" s="331" t="str">
        <f>'2. Finished Cattle Close Out'!C6</f>
        <v>Stocker</v>
      </c>
      <c r="D7" s="335"/>
      <c r="H7" s="46"/>
      <c r="I7" s="84"/>
    </row>
    <row r="8" spans="2:9" x14ac:dyDescent="0.35">
      <c r="B8" s="81" t="str">
        <f>'2. Finished Cattle Close Out'!B7</f>
        <v>Management In Yard</v>
      </c>
      <c r="C8" s="331" t="str">
        <f>'2. Finished Cattle Close Out'!C7</f>
        <v>Conventional</v>
      </c>
      <c r="D8" s="335"/>
      <c r="H8" s="46"/>
      <c r="I8" s="84"/>
    </row>
    <row r="9" spans="2:9" x14ac:dyDescent="0.35">
      <c r="B9" s="4" t="s">
        <v>122</v>
      </c>
      <c r="C9" s="155">
        <f>'2. Finished Cattle Close Out'!D8</f>
        <v>43706</v>
      </c>
      <c r="D9" s="6">
        <f>'2. Finished Cattle Close Out'!D14</f>
        <v>43999</v>
      </c>
      <c r="G9" s="37"/>
      <c r="H9" s="38"/>
      <c r="I9" s="54"/>
    </row>
    <row r="10" spans="2:9" x14ac:dyDescent="0.35">
      <c r="B10" s="4" t="s">
        <v>116</v>
      </c>
      <c r="C10" s="142" t="str">
        <f>'2. Finished Cattle Close Out'!F3</f>
        <v>Angus</v>
      </c>
      <c r="D10" s="140">
        <f>'2. Finished Cattle Close Out'!F4</f>
        <v>50</v>
      </c>
      <c r="E10" s="4" t="s">
        <v>3</v>
      </c>
      <c r="G10" s="41"/>
      <c r="H10" s="38"/>
      <c r="I10" s="54"/>
    </row>
    <row r="11" spans="2:9" x14ac:dyDescent="0.35">
      <c r="B11" s="2" t="s">
        <v>19</v>
      </c>
      <c r="C11" s="142" t="str">
        <f>'2. Finished Cattle Close Out'!F5</f>
        <v>Steers</v>
      </c>
      <c r="D11" s="140"/>
      <c r="G11" s="41"/>
      <c r="H11" s="38"/>
      <c r="I11" s="50"/>
    </row>
    <row r="12" spans="2:9" ht="15.45" x14ac:dyDescent="0.4">
      <c r="B12" s="44" t="s">
        <v>80</v>
      </c>
      <c r="C12" s="72"/>
      <c r="D12" s="11" t="s">
        <v>2</v>
      </c>
      <c r="E12" s="11" t="s">
        <v>103</v>
      </c>
      <c r="G12" s="41"/>
      <c r="H12" s="38"/>
      <c r="I12" s="50"/>
    </row>
    <row r="13" spans="2:9" x14ac:dyDescent="0.35">
      <c r="B13" s="37" t="s">
        <v>157</v>
      </c>
      <c r="C13" t="str">
        <f>'1.Custom Finish Financial Data'!E28</f>
        <v>Cattle Pricing</v>
      </c>
      <c r="D13" s="138">
        <f>'2. Finished Cattle Close Out'!E27</f>
        <v>146.15384615384613</v>
      </c>
      <c r="E13" s="87">
        <f>'2. Finished Cattle Close Out'!D27</f>
        <v>837.00440528634351</v>
      </c>
      <c r="G13" s="41"/>
      <c r="H13" s="38"/>
      <c r="I13" s="50"/>
    </row>
    <row r="14" spans="2:9" x14ac:dyDescent="0.35">
      <c r="B14" s="81" t="s">
        <v>124</v>
      </c>
      <c r="C14" s="38"/>
      <c r="D14" s="182">
        <f>'2. Finished Cattle Close Out'!E24</f>
        <v>114.29012380952382</v>
      </c>
      <c r="E14" s="137">
        <f>'2. Finished Cattle Close Out'!D24</f>
        <v>1600.0617333333334</v>
      </c>
      <c r="G14" s="41"/>
      <c r="H14" s="38"/>
      <c r="I14" s="50"/>
    </row>
    <row r="15" spans="2:9" x14ac:dyDescent="0.35">
      <c r="B15" s="37"/>
      <c r="G15" s="41"/>
      <c r="H15" s="38"/>
      <c r="I15" s="50"/>
    </row>
    <row r="16" spans="2:9" ht="15.45" x14ac:dyDescent="0.4">
      <c r="B16" s="178" t="s">
        <v>25</v>
      </c>
      <c r="C16" s="170"/>
      <c r="D16" s="171">
        <f>'2. Finished Cattle Close Out'!C64</f>
        <v>-31.863722344322312</v>
      </c>
      <c r="G16" s="41"/>
      <c r="H16" s="38"/>
      <c r="I16" s="50"/>
    </row>
    <row r="17" spans="2:9" x14ac:dyDescent="0.35">
      <c r="G17" s="41"/>
      <c r="H17" s="38"/>
      <c r="I17" s="50"/>
    </row>
    <row r="18" spans="2:9" x14ac:dyDescent="0.35">
      <c r="B18" s="299" t="s">
        <v>264</v>
      </c>
      <c r="C18" s="14" t="s">
        <v>100</v>
      </c>
      <c r="D18" s="300">
        <f>'1.Custom Finish Financial Data'!F34/'2. Finished Cattle Close Out'!D18</f>
        <v>0.75574005405405409</v>
      </c>
      <c r="G18" s="41"/>
      <c r="H18" s="38"/>
      <c r="I18" s="50"/>
    </row>
    <row r="19" spans="2:9" x14ac:dyDescent="0.35">
      <c r="B19" s="41" t="s">
        <v>44</v>
      </c>
      <c r="C19" s="14" t="s">
        <v>100</v>
      </c>
      <c r="D19" s="300">
        <f>D20-D18</f>
        <v>7.7551297297297372E-2</v>
      </c>
      <c r="E19" s="26"/>
      <c r="G19" s="41"/>
      <c r="H19" s="38"/>
      <c r="I19" s="50"/>
    </row>
    <row r="20" spans="2:9" ht="15.45" x14ac:dyDescent="0.4">
      <c r="B20" s="172" t="s">
        <v>32</v>
      </c>
      <c r="C20" s="173" t="s">
        <v>100</v>
      </c>
      <c r="D20" s="248">
        <f>'1.Custom Finish Financial Data'!E43/'2. Finished Cattle Close Out'!D18</f>
        <v>0.83329135135135146</v>
      </c>
      <c r="G20" s="41"/>
      <c r="H20" s="38"/>
      <c r="I20" s="50"/>
    </row>
    <row r="21" spans="2:9" ht="15.45" x14ac:dyDescent="0.4">
      <c r="B21" s="44"/>
      <c r="C21" s="14"/>
      <c r="D21" s="33"/>
      <c r="G21" s="41"/>
      <c r="H21" s="38"/>
      <c r="I21" s="50"/>
    </row>
    <row r="22" spans="2:9" ht="15.45" x14ac:dyDescent="0.4">
      <c r="B22" s="172" t="s">
        <v>26</v>
      </c>
      <c r="C22" s="174" t="s">
        <v>100</v>
      </c>
      <c r="D22" s="171">
        <f>'2. Finished Cattle Close Out'!D58</f>
        <v>0.91899400000000009</v>
      </c>
      <c r="G22" s="41"/>
      <c r="H22" s="38"/>
      <c r="I22" s="50"/>
    </row>
    <row r="23" spans="2:9" ht="15.45" x14ac:dyDescent="0.4">
      <c r="B23" s="44"/>
      <c r="C23" s="14"/>
      <c r="D23" s="33"/>
      <c r="G23" s="41"/>
      <c r="H23" s="38"/>
      <c r="I23" s="50"/>
    </row>
    <row r="24" spans="2:9" x14ac:dyDescent="0.35">
      <c r="B24" s="43"/>
      <c r="C24" s="38"/>
      <c r="D24" s="38" t="s">
        <v>87</v>
      </c>
      <c r="E24" s="38" t="s">
        <v>42</v>
      </c>
      <c r="F24" s="28"/>
      <c r="G24" s="41"/>
      <c r="H24" s="38"/>
      <c r="I24" s="50"/>
    </row>
    <row r="25" spans="2:9" x14ac:dyDescent="0.35">
      <c r="B25" s="43" t="s">
        <v>82</v>
      </c>
      <c r="C25" s="38"/>
      <c r="D25" s="8">
        <f>'2. Finished Cattle Close Out'!E46</f>
        <v>109.25679365079364</v>
      </c>
      <c r="E25" s="87">
        <f>'2. Finished Cattle Close Out'!D46</f>
        <v>1529.595111111111</v>
      </c>
      <c r="G25" s="41"/>
      <c r="H25" s="38"/>
      <c r="I25" s="50"/>
    </row>
    <row r="26" spans="2:9" ht="15.45" x14ac:dyDescent="0.4">
      <c r="C26" s="11"/>
      <c r="G26" s="41"/>
      <c r="H26" s="38"/>
      <c r="I26" s="50"/>
    </row>
    <row r="27" spans="2:9" ht="15.45" x14ac:dyDescent="0.4">
      <c r="B27" s="43"/>
      <c r="C27" s="11"/>
      <c r="D27" s="9"/>
      <c r="E27" s="38" t="s">
        <v>103</v>
      </c>
      <c r="G27" s="41"/>
      <c r="H27" s="38"/>
      <c r="I27" s="50"/>
    </row>
    <row r="28" spans="2:9" x14ac:dyDescent="0.35">
      <c r="B28" s="45" t="s">
        <v>11</v>
      </c>
      <c r="C28" s="38"/>
      <c r="E28" s="27">
        <f>'2. Finished Cattle Close Out'!D60</f>
        <v>-184.10150687830668</v>
      </c>
      <c r="G28" s="41"/>
      <c r="H28" s="38"/>
      <c r="I28" s="50"/>
    </row>
    <row r="29" spans="2:9" x14ac:dyDescent="0.35">
      <c r="B29" s="45" t="s">
        <v>12</v>
      </c>
      <c r="C29" s="38"/>
      <c r="E29" s="27">
        <f>'2. Finished Cattle Close Out'!D61</f>
        <v>254.56812910052932</v>
      </c>
      <c r="G29" s="41"/>
      <c r="H29" s="38"/>
      <c r="I29" s="50"/>
    </row>
    <row r="30" spans="2:9" ht="15.45" x14ac:dyDescent="0.4">
      <c r="B30" s="172" t="s">
        <v>153</v>
      </c>
      <c r="C30" s="174"/>
      <c r="D30" s="174"/>
      <c r="E30" s="175">
        <f>'2. Finished Cattle Close Out'!D62</f>
        <v>70.466622222222441</v>
      </c>
      <c r="F30" s="27"/>
      <c r="G30" s="261"/>
      <c r="H30" s="38"/>
      <c r="I30" s="50"/>
    </row>
    <row r="31" spans="2:9" x14ac:dyDescent="0.35">
      <c r="B31" s="83" t="s">
        <v>226</v>
      </c>
      <c r="F31" s="2" t="s">
        <v>69</v>
      </c>
      <c r="G31" s="41"/>
      <c r="H31" s="38"/>
      <c r="I31" s="50"/>
    </row>
    <row r="32" spans="2:9" ht="15.45" x14ac:dyDescent="0.4">
      <c r="B32" s="172" t="s">
        <v>312</v>
      </c>
      <c r="C32" s="176"/>
      <c r="D32" s="177">
        <f>'2. Finished Cattle Close Out'!F50</f>
        <v>0.12040420070045638</v>
      </c>
      <c r="F32" s="270">
        <f>'2. Finished Cattle Close Out'!F11</f>
        <v>253.46696035242292</v>
      </c>
      <c r="G32" s="41"/>
      <c r="H32" s="38"/>
      <c r="I32" s="50"/>
    </row>
    <row r="33" spans="1:9" ht="15.45" x14ac:dyDescent="0.4">
      <c r="B33" s="318" t="s">
        <v>314</v>
      </c>
      <c r="C33" s="319">
        <f>F33*0.01</f>
        <v>0.25</v>
      </c>
      <c r="D33" s="177">
        <f>'2. Finished Cattle Close Out'!F51</f>
        <v>0.48161680280182551</v>
      </c>
      <c r="F33">
        <f>'2. Finished Cattle Close Out'!E51</f>
        <v>25</v>
      </c>
      <c r="G33" s="299" t="s">
        <v>310</v>
      </c>
      <c r="H33" s="38"/>
      <c r="I33" s="50"/>
    </row>
    <row r="34" spans="1:9" ht="15.45" x14ac:dyDescent="0.4">
      <c r="A34" s="314"/>
      <c r="B34" s="218"/>
      <c r="C34" s="316"/>
      <c r="D34" s="317"/>
      <c r="E34" s="314"/>
      <c r="G34" s="41"/>
      <c r="H34" s="313"/>
      <c r="I34" s="50"/>
    </row>
    <row r="35" spans="1:9" ht="15.45" x14ac:dyDescent="0.4">
      <c r="B35" s="10" t="s">
        <v>79</v>
      </c>
      <c r="C35" s="2"/>
      <c r="D35" s="52"/>
      <c r="G35" s="41"/>
      <c r="H35" s="38"/>
      <c r="I35" s="50"/>
    </row>
    <row r="36" spans="1:9" ht="15.45" x14ac:dyDescent="0.4">
      <c r="B36" s="4" t="s">
        <v>125</v>
      </c>
      <c r="C36" s="1" t="s">
        <v>4</v>
      </c>
      <c r="D36" s="190">
        <f>'2. Finished Cattle Close Out'!F9</f>
        <v>572.68722466960355</v>
      </c>
      <c r="E36" s="140"/>
    </row>
    <row r="37" spans="1:9" ht="15.45" x14ac:dyDescent="0.4">
      <c r="B37" s="197" t="s">
        <v>74</v>
      </c>
      <c r="C37" s="179" t="s">
        <v>134</v>
      </c>
      <c r="D37" s="191">
        <f>'2. Finished Cattle Close Out'!F10</f>
        <v>5.9732810810810815</v>
      </c>
      <c r="E37" s="140"/>
      <c r="G37" s="2" t="s">
        <v>313</v>
      </c>
    </row>
    <row r="38" spans="1:9" ht="15.45" x14ac:dyDescent="0.4">
      <c r="B38" s="4" t="s">
        <v>126</v>
      </c>
      <c r="C38" s="38" t="s">
        <v>36</v>
      </c>
      <c r="D38" s="190">
        <f>'2. Finished Cattle Close Out'!F11</f>
        <v>253.46696035242292</v>
      </c>
      <c r="E38" s="140"/>
    </row>
    <row r="39" spans="1:9" x14ac:dyDescent="0.35">
      <c r="B39" t="s">
        <v>23</v>
      </c>
      <c r="C39" s="38" t="s">
        <v>27</v>
      </c>
      <c r="D39" s="190">
        <f>'2. Finished Cattle Close Out'!D13</f>
        <v>4</v>
      </c>
      <c r="E39" s="140"/>
    </row>
    <row r="40" spans="1:9" x14ac:dyDescent="0.35">
      <c r="B40" s="40" t="s">
        <v>30</v>
      </c>
      <c r="C40" s="38" t="s">
        <v>3</v>
      </c>
      <c r="D40" s="192">
        <f>C6</f>
        <v>1.7621145374449341E-2</v>
      </c>
      <c r="E40" s="140"/>
    </row>
    <row r="41" spans="1:9" x14ac:dyDescent="0.35">
      <c r="B41" t="s">
        <v>20</v>
      </c>
      <c r="C41" s="38"/>
      <c r="D41" s="193">
        <f>'2. Finished Cattle Close Out'!D14</f>
        <v>43999</v>
      </c>
      <c r="E41" s="140"/>
    </row>
    <row r="42" spans="1:9" x14ac:dyDescent="0.35">
      <c r="B42" t="s">
        <v>60</v>
      </c>
      <c r="D42" s="331" t="str">
        <f>'2. Finished Cattle Close Out'!F14</f>
        <v>Tyson</v>
      </c>
      <c r="E42" s="332"/>
    </row>
    <row r="43" spans="1:9" x14ac:dyDescent="0.35">
      <c r="B43" s="40" t="s">
        <v>193</v>
      </c>
      <c r="C43" s="46" t="s">
        <v>27</v>
      </c>
      <c r="D43" s="194">
        <f>'2. Finished Cattle Close Out'!D15</f>
        <v>225</v>
      </c>
      <c r="E43" s="140"/>
    </row>
    <row r="44" spans="1:9" x14ac:dyDescent="0.35">
      <c r="B44" t="s">
        <v>24</v>
      </c>
      <c r="C44" s="46" t="s">
        <v>3</v>
      </c>
      <c r="D44" s="268">
        <f>'2. Finished Cattle Close Out'!F16</f>
        <v>4</v>
      </c>
      <c r="E44" s="140"/>
    </row>
    <row r="45" spans="1:9" x14ac:dyDescent="0.35">
      <c r="B45" t="s">
        <v>34</v>
      </c>
      <c r="C45" s="46" t="s">
        <v>35</v>
      </c>
      <c r="D45" s="190">
        <f>'2. Finished Cattle Close Out'!D17</f>
        <v>1400</v>
      </c>
      <c r="E45" s="140"/>
    </row>
    <row r="46" spans="1:9" x14ac:dyDescent="0.35">
      <c r="B46" s="4" t="s">
        <v>127</v>
      </c>
      <c r="C46" s="46" t="s">
        <v>35</v>
      </c>
      <c r="D46" s="195">
        <f>'2. Finished Cattle Close Out'!F18</f>
        <v>814.97797356828198</v>
      </c>
      <c r="E46" s="140"/>
    </row>
    <row r="47" spans="1:9" ht="15.45" x14ac:dyDescent="0.4">
      <c r="B47" s="172" t="s">
        <v>33</v>
      </c>
      <c r="C47" s="176" t="s">
        <v>43</v>
      </c>
      <c r="D47" s="196">
        <f>'2. Finished Cattle Close Out'!D19</f>
        <v>3.2153223143368614</v>
      </c>
      <c r="E47" s="140"/>
    </row>
    <row r="48" spans="1:9" x14ac:dyDescent="0.35">
      <c r="B48" s="113" t="s">
        <v>104</v>
      </c>
      <c r="D48" s="140"/>
      <c r="E48" s="140"/>
    </row>
    <row r="49" spans="2:4" x14ac:dyDescent="0.35">
      <c r="B49" s="40"/>
      <c r="C49" s="72"/>
      <c r="D49" s="97"/>
    </row>
    <row r="73" spans="2:3" x14ac:dyDescent="0.35">
      <c r="B73" s="39"/>
      <c r="C73" s="38"/>
    </row>
    <row r="74" spans="2:3" x14ac:dyDescent="0.35">
      <c r="C74" s="38"/>
    </row>
    <row r="75" spans="2:3" x14ac:dyDescent="0.35">
      <c r="C75" s="38"/>
    </row>
  </sheetData>
  <sheetProtection sheet="1" objects="1" scenarios="1"/>
  <mergeCells count="5">
    <mergeCell ref="B1:E1"/>
    <mergeCell ref="D42:E42"/>
    <mergeCell ref="C4:D4"/>
    <mergeCell ref="C7:D7"/>
    <mergeCell ref="C8:D8"/>
  </mergeCells>
  <phoneticPr fontId="10" type="noConversion"/>
  <printOptions gridLines="1"/>
  <pageMargins left="0.95" right="0.45" top="0.75" bottom="0.75" header="0.3" footer="0.3"/>
  <pageSetup scale="70" orientation="portrait" r:id="rId1"/>
  <headerFooter>
    <oddFooter>&amp;L&amp;F&amp;R&amp;A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I60"/>
  <sheetViews>
    <sheetView workbookViewId="0">
      <selection activeCell="D4" sqref="D4"/>
    </sheetView>
  </sheetViews>
  <sheetFormatPr defaultRowHeight="15" x14ac:dyDescent="0.35"/>
  <cols>
    <col min="1" max="1" width="5" customWidth="1"/>
    <col min="2" max="2" width="30" customWidth="1"/>
    <col min="3" max="3" width="11.625" customWidth="1"/>
    <col min="5" max="5" width="10.4375" customWidth="1"/>
    <col min="6" max="6" width="9.3125" bestFit="1" customWidth="1"/>
    <col min="8" max="8" width="9.75" bestFit="1" customWidth="1"/>
  </cols>
  <sheetData>
    <row r="2" spans="2:7" ht="15.45" x14ac:dyDescent="0.4">
      <c r="B2" s="336" t="s">
        <v>210</v>
      </c>
      <c r="C2" s="336"/>
      <c r="D2" s="330"/>
    </row>
    <row r="4" spans="2:7" x14ac:dyDescent="0.35">
      <c r="B4" s="2" t="s">
        <v>16</v>
      </c>
      <c r="C4" s="91">
        <f>'4.Closeout Summary'!E3</f>
        <v>123</v>
      </c>
    </row>
    <row r="5" spans="2:7" x14ac:dyDescent="0.35">
      <c r="B5" t="s">
        <v>63</v>
      </c>
      <c r="C5" s="92">
        <f>'2. Finished Cattle Close Out'!D8</f>
        <v>43706</v>
      </c>
    </row>
    <row r="6" spans="2:7" x14ac:dyDescent="0.35">
      <c r="B6" t="s">
        <v>64</v>
      </c>
      <c r="C6" s="92">
        <f>'2. Finished Cattle Close Out'!D14</f>
        <v>43999</v>
      </c>
      <c r="F6">
        <f>C6-C5</f>
        <v>293</v>
      </c>
      <c r="G6" s="2" t="s">
        <v>209</v>
      </c>
    </row>
    <row r="7" spans="2:7" x14ac:dyDescent="0.35">
      <c r="B7" t="s">
        <v>46</v>
      </c>
      <c r="C7" s="2">
        <f>'2. Finished Cattle Close Out'!F8</f>
        <v>227</v>
      </c>
    </row>
    <row r="8" spans="2:7" x14ac:dyDescent="0.35">
      <c r="B8" t="s">
        <v>208</v>
      </c>
      <c r="C8" s="93">
        <f>'2. Finished Cattle Close Out'!F15</f>
        <v>223</v>
      </c>
    </row>
    <row r="9" spans="2:7" x14ac:dyDescent="0.35">
      <c r="B9" s="2" t="s">
        <v>201</v>
      </c>
      <c r="C9" s="90">
        <f>'2. Finished Cattle Close Out'!F13</f>
        <v>1.7621145374449341E-2</v>
      </c>
    </row>
    <row r="10" spans="2:7" x14ac:dyDescent="0.35">
      <c r="B10" t="s">
        <v>65</v>
      </c>
      <c r="C10" s="2" t="str">
        <f>'2. Finished Cattle Close Out'!F5</f>
        <v>Steers</v>
      </c>
    </row>
    <row r="11" spans="2:7" x14ac:dyDescent="0.35">
      <c r="B11" t="s">
        <v>66</v>
      </c>
      <c r="C11" s="93">
        <f>'2. Finished Cattle Close Out'!F9</f>
        <v>572.68722466960355</v>
      </c>
    </row>
    <row r="12" spans="2:7" x14ac:dyDescent="0.35">
      <c r="B12" t="s">
        <v>67</v>
      </c>
      <c r="C12" s="55">
        <f>'2. Finished Cattle Close Out'!D17</f>
        <v>1400</v>
      </c>
      <c r="F12" s="2" t="s">
        <v>222</v>
      </c>
    </row>
    <row r="13" spans="2:7" x14ac:dyDescent="0.35">
      <c r="B13" t="s">
        <v>68</v>
      </c>
      <c r="C13" s="93">
        <f>'2. Finished Cattle Close Out'!F18</f>
        <v>814.97797356828198</v>
      </c>
      <c r="F13" s="2" t="s">
        <v>270</v>
      </c>
    </row>
    <row r="14" spans="2:7" x14ac:dyDescent="0.35">
      <c r="B14" t="s">
        <v>69</v>
      </c>
      <c r="C14" s="93">
        <f>'2. Finished Cattle Close Out'!F11</f>
        <v>253.46696035242292</v>
      </c>
      <c r="F14" s="2" t="s">
        <v>274</v>
      </c>
    </row>
    <row r="15" spans="2:7" x14ac:dyDescent="0.35">
      <c r="B15" t="s">
        <v>70</v>
      </c>
      <c r="C15" s="94">
        <f>'2. Finished Cattle Close Out'!D19</f>
        <v>3.2153223143368614</v>
      </c>
      <c r="F15" s="2"/>
    </row>
    <row r="16" spans="2:7" x14ac:dyDescent="0.35">
      <c r="B16" t="s">
        <v>71</v>
      </c>
      <c r="C16" s="53">
        <f>'2. Finished Cattle Close Out'!F10</f>
        <v>5.9732810810810815</v>
      </c>
    </row>
    <row r="17" spans="2:9" ht="15.45" x14ac:dyDescent="0.4">
      <c r="B17" s="44" t="s">
        <v>80</v>
      </c>
      <c r="C17" s="202"/>
      <c r="D17" s="8"/>
    </row>
    <row r="18" spans="2:9" x14ac:dyDescent="0.35">
      <c r="B18" s="37" t="s">
        <v>202</v>
      </c>
      <c r="C18" s="8">
        <f>'4.Closeout Summary'!D13</f>
        <v>146.15384615384613</v>
      </c>
      <c r="F18" s="2" t="s">
        <v>173</v>
      </c>
    </row>
    <row r="19" spans="2:9" x14ac:dyDescent="0.35">
      <c r="B19" s="37" t="s">
        <v>213</v>
      </c>
      <c r="C19" s="8">
        <f>'4.Closeout Summary'!D14</f>
        <v>114.29012380952382</v>
      </c>
      <c r="F19" s="2" t="s">
        <v>239</v>
      </c>
    </row>
    <row r="20" spans="2:9" ht="15.45" x14ac:dyDescent="0.4">
      <c r="B20" s="73" t="s">
        <v>25</v>
      </c>
      <c r="C20" s="217">
        <f>C19-C18</f>
        <v>-31.863722344322312</v>
      </c>
      <c r="F20" s="2"/>
      <c r="G20" s="2"/>
      <c r="H20" s="2"/>
    </row>
    <row r="21" spans="2:9" ht="15.45" x14ac:dyDescent="0.4">
      <c r="B21" s="218" t="s">
        <v>211</v>
      </c>
      <c r="C21" s="9">
        <f>'4.Closeout Summary'!D20</f>
        <v>0.83329135135135146</v>
      </c>
      <c r="F21" s="254"/>
      <c r="G21" s="260"/>
      <c r="H21" s="110"/>
      <c r="I21" s="274"/>
    </row>
    <row r="22" spans="2:9" ht="15.45" x14ac:dyDescent="0.4">
      <c r="B22" s="218" t="s">
        <v>212</v>
      </c>
      <c r="C22" s="219">
        <f>'4.Closeout Summary'!D22</f>
        <v>0.91899400000000009</v>
      </c>
    </row>
    <row r="23" spans="2:9" ht="15.45" x14ac:dyDescent="0.4">
      <c r="B23" s="44" t="s">
        <v>199</v>
      </c>
      <c r="C23" s="9">
        <f>'4.Closeout Summary'!D25</f>
        <v>109.25679365079364</v>
      </c>
      <c r="F23" s="2"/>
    </row>
    <row r="24" spans="2:9" x14ac:dyDescent="0.35">
      <c r="B24" s="40"/>
      <c r="C24" s="8"/>
      <c r="F24" s="2"/>
    </row>
    <row r="25" spans="2:9" x14ac:dyDescent="0.35">
      <c r="B25" s="45" t="s">
        <v>11</v>
      </c>
      <c r="C25" s="217">
        <f>'4.Closeout Summary'!E28</f>
        <v>-184.10150687830668</v>
      </c>
    </row>
    <row r="26" spans="2:9" x14ac:dyDescent="0.35">
      <c r="B26" s="220" t="s">
        <v>12</v>
      </c>
      <c r="C26" s="217">
        <f>'4.Closeout Summary'!E29</f>
        <v>254.56812910052932</v>
      </c>
      <c r="I26" s="2" t="s">
        <v>139</v>
      </c>
    </row>
    <row r="27" spans="2:9" ht="15.45" x14ac:dyDescent="0.4">
      <c r="B27" s="218" t="s">
        <v>214</v>
      </c>
      <c r="C27" s="33">
        <f>'4.Closeout Summary'!E30</f>
        <v>70.466622222222441</v>
      </c>
      <c r="D27" s="253"/>
      <c r="F27" s="2" t="s">
        <v>172</v>
      </c>
      <c r="I27">
        <f>C8</f>
        <v>223</v>
      </c>
    </row>
    <row r="28" spans="2:9" ht="15.45" x14ac:dyDescent="0.4">
      <c r="B28" s="113" t="s">
        <v>99</v>
      </c>
      <c r="C28" s="221">
        <f>'4.Closeout Summary'!D32</f>
        <v>0.12040420070045638</v>
      </c>
    </row>
    <row r="29" spans="2:9" ht="15.45" x14ac:dyDescent="0.4">
      <c r="B29" s="113"/>
      <c r="C29" s="221"/>
    </row>
    <row r="30" spans="2:9" ht="15.45" x14ac:dyDescent="0.4">
      <c r="B30" s="10" t="s">
        <v>151</v>
      </c>
      <c r="C30" s="2"/>
      <c r="D30" s="2"/>
    </row>
    <row r="31" spans="2:9" x14ac:dyDescent="0.35">
      <c r="B31" s="2" t="s">
        <v>219</v>
      </c>
      <c r="C31" s="286">
        <f>'1.Custom Finish Financial Data'!C47</f>
        <v>223</v>
      </c>
      <c r="D31" s="262"/>
      <c r="F31" s="2" t="s">
        <v>269</v>
      </c>
    </row>
    <row r="32" spans="2:9" x14ac:dyDescent="0.35">
      <c r="B32" t="s">
        <v>152</v>
      </c>
      <c r="C32" s="310">
        <f>'1.Custom Finish Financial Data'!C48</f>
        <v>1402</v>
      </c>
      <c r="D32" s="262"/>
    </row>
    <row r="33" spans="2:7" x14ac:dyDescent="0.35">
      <c r="B33" s="2" t="s">
        <v>200</v>
      </c>
      <c r="C33" s="286">
        <f>'1.Custom Finish Financial Data'!C49</f>
        <v>894</v>
      </c>
      <c r="D33" s="262"/>
    </row>
    <row r="34" spans="2:7" x14ac:dyDescent="0.35">
      <c r="B34" s="2" t="s">
        <v>194</v>
      </c>
      <c r="C34" s="288">
        <f>'1.Custom Finish Financial Data'!C50</f>
        <v>0.65610000000000002</v>
      </c>
      <c r="D34" s="275"/>
      <c r="G34" s="269"/>
    </row>
    <row r="35" spans="2:7" ht="15.45" x14ac:dyDescent="0.4">
      <c r="B35" s="10" t="s">
        <v>167</v>
      </c>
      <c r="C35" s="286"/>
      <c r="D35" s="262"/>
    </row>
    <row r="36" spans="2:7" x14ac:dyDescent="0.35">
      <c r="B36" s="2" t="s">
        <v>168</v>
      </c>
      <c r="C36" s="288">
        <f>'1.Custom Finish Financial Data'!C52</f>
        <v>0.73</v>
      </c>
      <c r="D36" s="263"/>
    </row>
    <row r="37" spans="2:7" ht="15.45" x14ac:dyDescent="0.4">
      <c r="B37" s="10" t="s">
        <v>169</v>
      </c>
      <c r="C37" s="288"/>
      <c r="D37" s="262"/>
    </row>
    <row r="38" spans="2:7" x14ac:dyDescent="0.35">
      <c r="B38" s="257" t="s">
        <v>170</v>
      </c>
      <c r="C38" s="288">
        <f>'1.Custom Finish Financial Data'!C54</f>
        <v>0.61</v>
      </c>
      <c r="D38" s="259"/>
    </row>
    <row r="39" spans="2:7" x14ac:dyDescent="0.35">
      <c r="B39" s="257" t="s">
        <v>171</v>
      </c>
      <c r="C39" s="288">
        <f>'1.Custom Finish Financial Data'!C55</f>
        <v>0.12</v>
      </c>
      <c r="D39" s="259"/>
    </row>
    <row r="40" spans="2:7" x14ac:dyDescent="0.35">
      <c r="B40" s="337" t="s">
        <v>298</v>
      </c>
      <c r="C40" s="338"/>
      <c r="D40" s="338"/>
      <c r="E40" s="339"/>
    </row>
    <row r="41" spans="2:7" ht="15.45" x14ac:dyDescent="0.4">
      <c r="B41" s="10" t="s">
        <v>167</v>
      </c>
      <c r="C41" t="s">
        <v>284</v>
      </c>
      <c r="D41" s="307" t="s">
        <v>285</v>
      </c>
      <c r="E41" s="2" t="s">
        <v>286</v>
      </c>
    </row>
    <row r="42" spans="2:7" x14ac:dyDescent="0.35">
      <c r="B42" t="s">
        <v>287</v>
      </c>
      <c r="C42" s="304">
        <v>3</v>
      </c>
      <c r="D42" s="48">
        <f>IF(C42=0,0,C42/$C$49)</f>
        <v>2.9126213592233011E-2</v>
      </c>
      <c r="E42" s="309">
        <v>15</v>
      </c>
    </row>
    <row r="43" spans="2:7" x14ac:dyDescent="0.35">
      <c r="B43" s="2" t="s">
        <v>288</v>
      </c>
      <c r="C43" s="304">
        <v>0</v>
      </c>
      <c r="D43" s="48">
        <f t="shared" ref="D43:D48" si="0">IF(C43=0,0,C43/$C$49)</f>
        <v>0</v>
      </c>
      <c r="E43" s="309">
        <v>6</v>
      </c>
    </row>
    <row r="44" spans="2:7" x14ac:dyDescent="0.35">
      <c r="B44" t="s">
        <v>289</v>
      </c>
      <c r="C44" s="304">
        <v>70</v>
      </c>
      <c r="D44" s="48">
        <f t="shared" si="0"/>
        <v>0.67961165048543692</v>
      </c>
      <c r="E44" s="309">
        <v>0</v>
      </c>
    </row>
    <row r="45" spans="2:7" ht="15.45" x14ac:dyDescent="0.4">
      <c r="B45" s="2" t="s">
        <v>290</v>
      </c>
      <c r="C45" s="10">
        <f>SUM(C42:C44)</f>
        <v>73</v>
      </c>
      <c r="D45" s="308">
        <f t="shared" si="0"/>
        <v>0.70873786407766992</v>
      </c>
      <c r="E45" s="311"/>
    </row>
    <row r="46" spans="2:7" x14ac:dyDescent="0.35">
      <c r="B46" t="s">
        <v>291</v>
      </c>
      <c r="C46" s="304">
        <v>27</v>
      </c>
      <c r="D46" s="48">
        <f t="shared" si="0"/>
        <v>0.26213592233009708</v>
      </c>
      <c r="E46" s="309">
        <v>-4.4000000000000004</v>
      </c>
    </row>
    <row r="47" spans="2:7" x14ac:dyDescent="0.35">
      <c r="B47" s="2" t="s">
        <v>297</v>
      </c>
      <c r="C47" s="304">
        <v>2</v>
      </c>
      <c r="D47" s="48">
        <f t="shared" si="0"/>
        <v>1.9417475728155338E-2</v>
      </c>
      <c r="E47" s="309">
        <v>0</v>
      </c>
    </row>
    <row r="48" spans="2:7" x14ac:dyDescent="0.35">
      <c r="B48" s="2" t="s">
        <v>299</v>
      </c>
      <c r="C48" s="304">
        <v>1</v>
      </c>
      <c r="D48" s="48">
        <f t="shared" si="0"/>
        <v>9.7087378640776691E-3</v>
      </c>
      <c r="E48" s="309">
        <v>0</v>
      </c>
    </row>
    <row r="49" spans="2:5" ht="15.45" x14ac:dyDescent="0.4">
      <c r="B49" s="10" t="s">
        <v>6</v>
      </c>
      <c r="C49" s="10">
        <f>SUM(C45:C48)</f>
        <v>103</v>
      </c>
      <c r="E49" s="311"/>
    </row>
    <row r="50" spans="2:5" ht="15.45" x14ac:dyDescent="0.4">
      <c r="B50" s="10" t="s">
        <v>169</v>
      </c>
      <c r="C50" s="216"/>
      <c r="E50" s="311"/>
    </row>
    <row r="51" spans="2:5" x14ac:dyDescent="0.35">
      <c r="B51" s="2" t="s">
        <v>292</v>
      </c>
      <c r="C51" s="304">
        <v>28</v>
      </c>
      <c r="D51" s="48">
        <f>IF(C51=0,0,C51/$C$56)</f>
        <v>0.27184466019417475</v>
      </c>
      <c r="E51" s="309">
        <v>0</v>
      </c>
    </row>
    <row r="52" spans="2:5" x14ac:dyDescent="0.35">
      <c r="B52" s="2" t="s">
        <v>293</v>
      </c>
      <c r="C52" s="304">
        <v>39</v>
      </c>
      <c r="D52" s="48">
        <f t="shared" ref="D52:D55" si="1">IF(C52=0,0,C52/$C$56)</f>
        <v>0.37864077669902912</v>
      </c>
      <c r="E52" s="309">
        <v>0</v>
      </c>
    </row>
    <row r="53" spans="2:5" x14ac:dyDescent="0.35">
      <c r="B53" s="2" t="s">
        <v>294</v>
      </c>
      <c r="C53" s="304">
        <v>27</v>
      </c>
      <c r="D53" s="48">
        <f t="shared" si="1"/>
        <v>0.26213592233009708</v>
      </c>
      <c r="E53" s="309">
        <v>0</v>
      </c>
    </row>
    <row r="54" spans="2:5" x14ac:dyDescent="0.35">
      <c r="B54" s="2" t="s">
        <v>295</v>
      </c>
      <c r="C54" s="304">
        <v>8</v>
      </c>
      <c r="D54" s="48">
        <f t="shared" si="1"/>
        <v>7.7669902912621352E-2</v>
      </c>
      <c r="E54" s="309">
        <v>-8</v>
      </c>
    </row>
    <row r="55" spans="2:5" x14ac:dyDescent="0.35">
      <c r="B55" s="2" t="s">
        <v>296</v>
      </c>
      <c r="C55" s="304">
        <v>1</v>
      </c>
      <c r="D55" s="48">
        <f t="shared" si="1"/>
        <v>9.7087378640776691E-3</v>
      </c>
      <c r="E55" s="309">
        <v>-10</v>
      </c>
    </row>
    <row r="56" spans="2:5" ht="15.45" x14ac:dyDescent="0.4">
      <c r="B56" s="10" t="s">
        <v>6</v>
      </c>
      <c r="C56" s="10">
        <f>SUM(C51:C55)</f>
        <v>103</v>
      </c>
    </row>
    <row r="57" spans="2:5" x14ac:dyDescent="0.35">
      <c r="B57" t="s">
        <v>158</v>
      </c>
    </row>
    <row r="58" spans="2:5" x14ac:dyDescent="0.35">
      <c r="B58" t="s">
        <v>159</v>
      </c>
      <c r="C58" s="26">
        <f>'2. Finished Cattle Close Out'!L41</f>
        <v>210582.2708219178</v>
      </c>
      <c r="D58">
        <f>F6</f>
        <v>293</v>
      </c>
      <c r="E58" s="2" t="s">
        <v>29</v>
      </c>
    </row>
    <row r="59" spans="2:5" x14ac:dyDescent="0.35">
      <c r="B59" t="s">
        <v>160</v>
      </c>
      <c r="C59" s="87">
        <f>'2. Finished Cattle Close Out'!F48+'2. Finished Cattle Close Out'!F44</f>
        <v>25354.990000000049</v>
      </c>
    </row>
    <row r="60" spans="2:5" x14ac:dyDescent="0.35">
      <c r="B60" t="s">
        <v>161</v>
      </c>
      <c r="C60" s="48">
        <f>IF(C58=0,0,C59/C58)</f>
        <v>0.12040420070045638</v>
      </c>
    </row>
  </sheetData>
  <mergeCells count="2">
    <mergeCell ref="B2:D2"/>
    <mergeCell ref="B40:E40"/>
  </mergeCells>
  <phoneticPr fontId="10" type="noConversion"/>
  <printOptions gridLines="1"/>
  <pageMargins left="1" right="0.5" top="1" bottom="1" header="0.5" footer="0.5"/>
  <pageSetup scale="79" orientation="portrait" r:id="rId1"/>
  <headerFooter alignWithMargins="0">
    <oddFooter>&amp;L&amp;F&amp;R&amp;A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AED59-9791-4EFA-AA5D-22A6ECBBF965}">
  <sheetPr>
    <pageSetUpPr fitToPage="1"/>
  </sheetPr>
  <dimension ref="B1:B13"/>
  <sheetViews>
    <sheetView workbookViewId="0"/>
  </sheetViews>
  <sheetFormatPr defaultRowHeight="15" x14ac:dyDescent="0.35"/>
  <cols>
    <col min="1" max="1" width="3.9375" customWidth="1"/>
    <col min="2" max="2" width="59.3125" customWidth="1"/>
  </cols>
  <sheetData>
    <row r="1" spans="2:2" ht="15.55" customHeight="1" x14ac:dyDescent="0.35">
      <c r="B1" s="276" t="s">
        <v>198</v>
      </c>
    </row>
    <row r="2" spans="2:2" ht="80.05" customHeight="1" x14ac:dyDescent="0.35">
      <c r="B2" s="278" t="s">
        <v>203</v>
      </c>
    </row>
    <row r="3" spans="2:2" ht="65.05" customHeight="1" x14ac:dyDescent="0.4">
      <c r="B3" s="279" t="s">
        <v>275</v>
      </c>
    </row>
    <row r="4" spans="2:2" ht="15.45" x14ac:dyDescent="0.4">
      <c r="B4" s="279"/>
    </row>
    <row r="5" spans="2:2" ht="96" customHeight="1" x14ac:dyDescent="0.4">
      <c r="B5" s="279" t="s">
        <v>204</v>
      </c>
    </row>
    <row r="6" spans="2:2" ht="15.45" x14ac:dyDescent="0.4">
      <c r="B6" s="279"/>
    </row>
    <row r="7" spans="2:2" ht="110.05" customHeight="1" x14ac:dyDescent="0.4">
      <c r="B7" s="279" t="s">
        <v>205</v>
      </c>
    </row>
    <row r="8" spans="2:2" ht="15.45" x14ac:dyDescent="0.4">
      <c r="B8" s="279"/>
    </row>
    <row r="9" spans="2:2" ht="110.05" customHeight="1" x14ac:dyDescent="0.4">
      <c r="B9" s="279" t="s">
        <v>206</v>
      </c>
    </row>
    <row r="10" spans="2:2" x14ac:dyDescent="0.35">
      <c r="B10" s="277"/>
    </row>
    <row r="11" spans="2:2" ht="140.05000000000001" customHeight="1" x14ac:dyDescent="0.4">
      <c r="B11" s="280" t="s">
        <v>207</v>
      </c>
    </row>
    <row r="13" spans="2:2" ht="77.150000000000006" x14ac:dyDescent="0.35">
      <c r="B13" s="320" t="s">
        <v>315</v>
      </c>
    </row>
  </sheetData>
  <sheetProtection sheet="1" objects="1" scenarios="1"/>
  <pageMargins left="0.95" right="0.45" top="0.75" bottom="0.75" header="0.3" footer="0.3"/>
  <pageSetup scale="90" orientation="portrait" horizontalDpi="4294967295" verticalDpi="4294967295" r:id="rId1"/>
  <headerFooter>
    <oddFooter>&amp;L&amp;F&amp;R&amp;A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6BAB8-7955-4BA0-93C9-D3D906C2BD1D}">
  <sheetPr>
    <pageSetUpPr fitToPage="1"/>
  </sheetPr>
  <dimension ref="B2:C22"/>
  <sheetViews>
    <sheetView workbookViewId="0">
      <selection activeCell="C3" sqref="C3"/>
    </sheetView>
  </sheetViews>
  <sheetFormatPr defaultRowHeight="15" x14ac:dyDescent="0.35"/>
  <cols>
    <col min="1" max="1" width="2.1875" customWidth="1"/>
    <col min="2" max="2" width="66.75" customWidth="1"/>
  </cols>
  <sheetData>
    <row r="2" spans="2:3" ht="15.45" x14ac:dyDescent="0.4">
      <c r="B2" s="10" t="s">
        <v>271</v>
      </c>
    </row>
    <row r="4" spans="2:3" x14ac:dyDescent="0.35">
      <c r="B4" s="2" t="s">
        <v>242</v>
      </c>
    </row>
    <row r="5" spans="2:3" x14ac:dyDescent="0.35">
      <c r="B5" s="2"/>
    </row>
    <row r="6" spans="2:3" ht="15.45" x14ac:dyDescent="0.4">
      <c r="B6" s="10" t="s">
        <v>241</v>
      </c>
    </row>
    <row r="7" spans="2:3" ht="15.45" x14ac:dyDescent="0.4">
      <c r="B7" s="2" t="s">
        <v>251</v>
      </c>
    </row>
    <row r="9" spans="2:3" ht="15.45" x14ac:dyDescent="0.4">
      <c r="B9" s="2" t="s">
        <v>244</v>
      </c>
    </row>
    <row r="10" spans="2:3" x14ac:dyDescent="0.35">
      <c r="B10" s="2"/>
    </row>
    <row r="11" spans="2:3" ht="15.45" x14ac:dyDescent="0.4">
      <c r="B11" s="2" t="s">
        <v>273</v>
      </c>
      <c r="C11" s="2"/>
    </row>
    <row r="12" spans="2:3" x14ac:dyDescent="0.35">
      <c r="B12" s="2" t="s">
        <v>272</v>
      </c>
    </row>
    <row r="14" spans="2:3" ht="15.45" x14ac:dyDescent="0.4">
      <c r="B14" s="2" t="s">
        <v>253</v>
      </c>
    </row>
    <row r="15" spans="2:3" x14ac:dyDescent="0.35">
      <c r="B15" s="2" t="s">
        <v>254</v>
      </c>
    </row>
    <row r="16" spans="2:3" x14ac:dyDescent="0.35">
      <c r="B16" s="2"/>
    </row>
    <row r="17" spans="2:2" x14ac:dyDescent="0.35">
      <c r="B17" s="2" t="s">
        <v>255</v>
      </c>
    </row>
    <row r="18" spans="2:2" ht="15.45" x14ac:dyDescent="0.4">
      <c r="B18" s="2" t="s">
        <v>245</v>
      </c>
    </row>
    <row r="19" spans="2:2" x14ac:dyDescent="0.35">
      <c r="B19" s="2" t="s">
        <v>257</v>
      </c>
    </row>
    <row r="20" spans="2:2" x14ac:dyDescent="0.35">
      <c r="B20" s="2" t="s">
        <v>256</v>
      </c>
    </row>
    <row r="21" spans="2:2" x14ac:dyDescent="0.35">
      <c r="B21" s="2"/>
    </row>
    <row r="22" spans="2:2" x14ac:dyDescent="0.35">
      <c r="B22" s="2" t="s">
        <v>243</v>
      </c>
    </row>
  </sheetData>
  <sheetProtection sheet="1" objects="1" scenarios="1"/>
  <pageMargins left="0.95" right="0.45" top="0.75" bottom="0.75" header="0.3" footer="0.3"/>
  <pageSetup orientation="portrait" horizontalDpi="4294967295" verticalDpi="4294967295" r:id="rId1"/>
  <headerFoot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1.Custom Finish Financial Data</vt:lpstr>
      <vt:lpstr>2. Finished Cattle Close Out</vt:lpstr>
      <vt:lpstr>3. Graphs</vt:lpstr>
      <vt:lpstr>4.Closeout Summary</vt:lpstr>
      <vt:lpstr>5. FinishedCattleBenchmarks</vt:lpstr>
      <vt:lpstr>6. Definitions </vt:lpstr>
      <vt:lpstr>7. Notes </vt:lpstr>
      <vt:lpstr>'1.Custom Finish Financial Data'!Print_Area</vt:lpstr>
      <vt:lpstr>'2. Finished Cattle Close Out'!Print_Area</vt:lpstr>
      <vt:lpstr>'3. Graphs'!Print_Area</vt:lpstr>
      <vt:lpstr>'4.Closeout Summary'!Print_Area</vt:lpstr>
      <vt:lpstr>'5. FinishedCattleBenchmarks'!Print_Area</vt:lpstr>
      <vt:lpstr>'6. Definitions '!Print_Area</vt:lpstr>
      <vt:lpstr>'7. Notes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McGrann</dc:creator>
  <cp:lastModifiedBy>mcgra</cp:lastModifiedBy>
  <cp:lastPrinted>2022-07-05T14:16:23Z</cp:lastPrinted>
  <dcterms:created xsi:type="dcterms:W3CDTF">2008-07-17T16:45:37Z</dcterms:created>
  <dcterms:modified xsi:type="dcterms:W3CDTF">2022-07-05T14:16:33Z</dcterms:modified>
</cp:coreProperties>
</file>