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mcgra\Documents\1. Pete Bonds MIS 4-12-2022\D. 6 Finished Cattle Margin Update 4-13-2022\"/>
    </mc:Choice>
  </mc:AlternateContent>
  <xr:revisionPtr revIDLastSave="0" documentId="13_ncr:1_{C21EED65-58A5-468A-A60B-C78BF09D4AE8}" xr6:coauthVersionLast="47" xr6:coauthVersionMax="47" xr10:uidLastSave="{00000000-0000-0000-0000-000000000000}"/>
  <bookViews>
    <workbookView xWindow="-103" yWindow="-103" windowWidth="16663" windowHeight="8863" tabRatio="604" xr2:uid="{00000000-000D-0000-FFFF-FFFF00000000}"/>
  </bookViews>
  <sheets>
    <sheet name="1.Value of Gain&amp;MarginAnalysis" sheetId="13" r:id="rId1"/>
    <sheet name="2.Decision Aid  Definitions" sheetId="14" r:id="rId2"/>
    <sheet name="3. Do Your Own Price Breakeven" sheetId="15" r:id="rId3"/>
  </sheets>
  <definedNames>
    <definedName name="_xlnm.Print_Area" localSheetId="0">'1.Value of Gain&amp;MarginAnalysis'!$B$1:$G$103</definedName>
    <definedName name="_xlnm.Print_Area" localSheetId="2">'3. Do Your Own Price Breakeven'!$B$2:$B$22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2" i="13" l="1"/>
  <c r="C45" i="13" l="1"/>
  <c r="E8" i="13"/>
  <c r="E10" i="13"/>
  <c r="E12" i="13" s="1"/>
  <c r="F7" i="13"/>
  <c r="C47" i="13"/>
  <c r="E21" i="13" s="1"/>
  <c r="M10" i="13"/>
  <c r="H115" i="13" s="1"/>
  <c r="E14" i="13"/>
  <c r="H110" i="13" s="1"/>
  <c r="C17" i="13"/>
  <c r="C15" i="13"/>
  <c r="F8" i="13" l="1"/>
  <c r="C48" i="13"/>
  <c r="E5" i="13" s="1"/>
  <c r="F12" i="13"/>
  <c r="E36" i="13"/>
  <c r="F14" i="13"/>
  <c r="F25" i="13"/>
  <c r="F21" i="13"/>
  <c r="M5" i="13" l="1"/>
  <c r="H113" i="13" s="1"/>
  <c r="E40" i="13"/>
  <c r="I110" i="13"/>
  <c r="M7" i="13"/>
  <c r="M4" i="13"/>
  <c r="F15" i="13"/>
  <c r="E15" i="13" s="1"/>
  <c r="E20" i="13" s="1"/>
  <c r="E46" i="13"/>
  <c r="E48" i="13" s="1"/>
  <c r="C40" i="13" l="1"/>
  <c r="F20" i="13"/>
  <c r="F26" i="13" s="1"/>
  <c r="C25" i="13"/>
  <c r="E47" i="13"/>
  <c r="M6" i="13" l="1"/>
  <c r="M15" i="13" s="1"/>
  <c r="E26" i="13"/>
  <c r="E23" i="13"/>
  <c r="C23" i="13" s="1"/>
  <c r="F23" i="13" l="1"/>
  <c r="M8" i="13" l="1"/>
  <c r="M9" i="13" s="1"/>
  <c r="H114" i="13" s="1"/>
  <c r="F24" i="13"/>
  <c r="P9" i="13" l="1"/>
  <c r="M11" i="13"/>
  <c r="N6" i="13" s="1"/>
  <c r="E24" i="13"/>
  <c r="C24" i="13" s="1"/>
  <c r="I24" i="13"/>
  <c r="F28" i="13"/>
  <c r="N7" i="13" l="1"/>
  <c r="I113" i="13"/>
  <c r="N9" i="13"/>
  <c r="I115" i="13"/>
  <c r="I114" i="13"/>
  <c r="H116" i="13"/>
  <c r="N11" i="13"/>
  <c r="M13" i="13"/>
  <c r="N13" i="13" s="1"/>
  <c r="N8" i="13"/>
  <c r="N15" i="13"/>
  <c r="N5" i="13"/>
  <c r="N10" i="13"/>
  <c r="N4" i="13"/>
  <c r="E28" i="13"/>
  <c r="F30" i="13"/>
  <c r="I116" i="13" l="1"/>
  <c r="M113" i="13"/>
  <c r="M116" i="13"/>
  <c r="M114" i="13"/>
  <c r="M115" i="13"/>
  <c r="F34" i="13"/>
  <c r="E34" i="13" s="1"/>
  <c r="E43" i="13" s="1"/>
  <c r="E30" i="13"/>
  <c r="E32" i="13" s="1"/>
  <c r="J110" i="13"/>
  <c r="K110" i="13" s="1"/>
  <c r="C52" i="13"/>
  <c r="C28" i="13"/>
  <c r="E37" i="13" s="1"/>
  <c r="E38" i="13" s="1"/>
  <c r="E41" i="13" l="1"/>
  <c r="E52" i="13"/>
  <c r="C53" i="13"/>
  <c r="E53" i="13" s="1"/>
</calcChain>
</file>

<file path=xl/sharedStrings.xml><?xml version="1.0" encoding="utf-8"?>
<sst xmlns="http://schemas.openxmlformats.org/spreadsheetml/2006/main" count="128" uniqueCount="114">
  <si>
    <t>$/Cwt.</t>
  </si>
  <si>
    <t>$/Head</t>
  </si>
  <si>
    <t>Roll Back - $/Cwt.</t>
  </si>
  <si>
    <t>Date Out</t>
  </si>
  <si>
    <t>Marketing Margin</t>
  </si>
  <si>
    <t>Feeding  Margin</t>
  </si>
  <si>
    <t>Cost of Gain + Target Margin</t>
  </si>
  <si>
    <t>Total Cost - Initial Cattle Plus Cost of Gain</t>
  </si>
  <si>
    <t>Death Loss % &amp; Head</t>
  </si>
  <si>
    <t>Head</t>
  </si>
  <si>
    <t>$/Head Out</t>
  </si>
  <si>
    <t>Payweight cost or opportunity cost.</t>
  </si>
  <si>
    <t>Head Out</t>
  </si>
  <si>
    <t>Total</t>
  </si>
  <si>
    <t>$/Hd./Out</t>
  </si>
  <si>
    <t>Net Payweight Gain on Head Out</t>
  </si>
  <si>
    <t>Annualized Average Investment $/Hd.</t>
  </si>
  <si>
    <t>Death Loss Adjusted</t>
  </si>
  <si>
    <t>Class of Cattle</t>
  </si>
  <si>
    <t xml:space="preserve">Market Payweight Price </t>
  </si>
  <si>
    <t xml:space="preserve">  Health &amp; Processing</t>
  </si>
  <si>
    <t xml:space="preserve">  Interest</t>
  </si>
  <si>
    <t xml:space="preserve">  Labor and Management*</t>
  </si>
  <si>
    <t xml:space="preserve">*Depends on how included in yardage </t>
  </si>
  <si>
    <t>Cost of Gain Include</t>
  </si>
  <si>
    <t xml:space="preserve">     Over (Under) Payment </t>
  </si>
  <si>
    <t>Target Margin</t>
  </si>
  <si>
    <t>Total Cost</t>
  </si>
  <si>
    <t>Net Margin</t>
  </si>
  <si>
    <t>Percent</t>
  </si>
  <si>
    <t>Net Margin Including Target Margin</t>
  </si>
  <si>
    <t>Summary</t>
  </si>
  <si>
    <t>Market Value of Sale</t>
  </si>
  <si>
    <t>This is what you could pay for gain and achieve desired rate of return.</t>
  </si>
  <si>
    <t>Net ADG</t>
  </si>
  <si>
    <t>Interest</t>
  </si>
  <si>
    <t>Target Return on Investment - ROI</t>
  </si>
  <si>
    <t>Lb./ Head</t>
  </si>
  <si>
    <t>Market Payweight</t>
  </si>
  <si>
    <t xml:space="preserve">    What Could Be Paid </t>
  </si>
  <si>
    <t xml:space="preserve"> Finance Cost</t>
  </si>
  <si>
    <t xml:space="preserve"> Rate</t>
  </si>
  <si>
    <t>$/Lb./Gain</t>
  </si>
  <si>
    <t>Return Investment Including Target Margin - ROI</t>
  </si>
  <si>
    <t>___________________________________________________________________</t>
  </si>
  <si>
    <t>Revenue</t>
  </si>
  <si>
    <t>Feeder Cost</t>
  </si>
  <si>
    <t xml:space="preserve">Cost of Gain </t>
  </si>
  <si>
    <t>COG</t>
  </si>
  <si>
    <t xml:space="preserve">  General &amp; Administrative </t>
  </si>
  <si>
    <t>Cost of Calf- Stocker</t>
  </si>
  <si>
    <t>Starting and Ending Date</t>
  </si>
  <si>
    <t>Indirect</t>
  </si>
  <si>
    <t>Costs of Gain</t>
  </si>
  <si>
    <t>Total Cost of  Gain - COG</t>
  </si>
  <si>
    <t>Direct</t>
  </si>
  <si>
    <t>Finance</t>
  </si>
  <si>
    <t>Gain Cost</t>
  </si>
  <si>
    <t>$/Lb. of Gain</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</si>
  <si>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</si>
  <si>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t>Retaining ownership is a margin business. An area of information not communally observed in finish closeout performance evaluation is where the margins are earned. These values stress the importance of marketing when retaining cattle ownership. These margins are defined as follows:</t>
  </si>
  <si>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</si>
  <si>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</si>
  <si>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</si>
  <si>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Initial Payweight of Feeder</t>
  </si>
  <si>
    <t>Initial Payweight Cost of Feeder</t>
  </si>
  <si>
    <t>Feeder cattle owner's costs</t>
  </si>
  <si>
    <t xml:space="preserve">  Feed  Cost, processing and health. </t>
  </si>
  <si>
    <t xml:space="preserve">Value of Feedyard Gain </t>
  </si>
  <si>
    <t>Date Placed on Feed</t>
  </si>
  <si>
    <t>Initial Feeder Value</t>
  </si>
  <si>
    <t>Feedyard + Owner Indirect Costs.</t>
  </si>
  <si>
    <t>This is cost for gain including target return.</t>
  </si>
  <si>
    <t>This is what you could pay for feeder.</t>
  </si>
  <si>
    <r>
      <t xml:space="preserve">Published retained ownership reports use </t>
    </r>
    <r>
      <rPr>
        <b/>
        <sz val="12"/>
        <rFont val="Times New Roman"/>
        <family val="1"/>
      </rPr>
      <t>calculate breakeven as if it were the ultimate goal.</t>
    </r>
    <r>
      <rPr>
        <sz val="12"/>
        <rFont val="Times New Roman"/>
        <family val="1"/>
      </rPr>
      <t xml:space="preserve">  It is extremely important to understand what costs are included to arrive at the breakeven sales price reported. Nothing is achieved using breakeven price when incomplete costs is used to guide decision to retain ownership</t>
    </r>
    <r>
      <rPr>
        <b/>
        <sz val="12"/>
        <rFont val="Times New Roman"/>
        <family val="1"/>
      </rPr>
      <t xml:space="preserve">. </t>
    </r>
  </si>
  <si>
    <r>
      <t xml:space="preserve">Be sure to do </t>
    </r>
    <r>
      <rPr>
        <b/>
        <sz val="12"/>
        <rFont val="Times New Roman"/>
        <family val="1"/>
      </rPr>
      <t>“what if”</t>
    </r>
    <r>
      <rPr>
        <sz val="12"/>
        <rFont val="Times New Roman"/>
        <family val="1"/>
      </rPr>
      <t xml:space="preserve"> analysis before making the commitment to retained ownership.</t>
    </r>
  </si>
  <si>
    <r>
      <rPr>
        <b/>
        <sz val="12"/>
        <color theme="1"/>
        <rFont val="Times New Roman"/>
        <family val="1"/>
      </rPr>
      <t>Marketing Margin</t>
    </r>
    <r>
      <rPr>
        <sz val="12"/>
        <color theme="1"/>
        <rFont val="Times New Roman"/>
        <family val="1"/>
      </rPr>
      <t xml:space="preserve"> is the net payweight sales for the weaned calf or purchase payweight of the 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</si>
  <si>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t xml:space="preserve">At the time a raised or purchased feeder is ready for sale it’s good to know the full cost of the feeder. However, the full cost is a </t>
    </r>
    <r>
      <rPr>
        <b/>
        <sz val="12"/>
        <rFont val="Times New Roman"/>
        <family val="1"/>
      </rPr>
      <t xml:space="preserve">“sunk cost” </t>
    </r>
    <r>
      <rPr>
        <sz val="12"/>
        <rFont val="Times New Roman"/>
        <family val="1"/>
      </rPr>
      <t>it cannot be reversed or changed. The net market price needs to be estimated by reviewing marketing options. The question is to retain or sell?</t>
    </r>
  </si>
  <si>
    <t>The reported breakeven price does not include a profit for the feeder owner. It’s a zero return on investment (ROI).  This is why the retained ownership producer must do their own analysis. A business will go broke if there is no income to pay business indirect or overhead costs or provide a positive ROI.</t>
  </si>
  <si>
    <t>Finishing cattle should provide a favorable return on investment as there is added production and market price risk.</t>
  </si>
  <si>
    <r>
      <t xml:space="preserve">When evaluating retained ownership through finishing the feeder cost is a sunk cost and the net sales price is the </t>
    </r>
    <r>
      <rPr>
        <b/>
        <sz val="12"/>
        <rFont val="Times New Roman"/>
        <family val="1"/>
      </rPr>
      <t xml:space="preserve">“opportunity sales value” </t>
    </r>
    <r>
      <rPr>
        <sz val="12"/>
        <rFont val="Times New Roman"/>
        <family val="1"/>
      </rPr>
      <t>of the feeder. Knowing the net income (loss) if sold as a feeder is very valuable decision information. It’s then it’s a question will retain ownership adding net income or more losses at the custom finishing phase?</t>
    </r>
  </si>
  <si>
    <t>This decision aids allows alternative ways to enter the feeder owner’s indirect costs when entering the feeder initial net payweight costs of the feeder or in the cost if gain addition to the feedyard cost of gain (COG). Also, a target margin is entered to calculate target net return or profit and return on investment (ROI).</t>
  </si>
  <si>
    <t xml:space="preserve">Incomplete Costs Breakeven Price is  Not a Useful Guide for Retained Ownership </t>
  </si>
  <si>
    <t xml:space="preserve">          Finished Fed Cattle Margin Calculation Report Definitions</t>
  </si>
  <si>
    <t xml:space="preserve">Average Daily Gain &amp; Per Head </t>
  </si>
  <si>
    <t>Days on Feed &amp; Net ADG</t>
  </si>
  <si>
    <r>
      <t>Indirect Costs of Gain -</t>
    </r>
    <r>
      <rPr>
        <sz val="11"/>
        <rFont val="Arial"/>
        <family val="2"/>
      </rPr>
      <t xml:space="preserve"> $/Hd./Day*</t>
    </r>
  </si>
  <si>
    <t xml:space="preserve">  Indirect or Yardage - $/Head Day*</t>
  </si>
  <si>
    <t>Target Margin  - $/Lb., $/Head</t>
  </si>
  <si>
    <t>Breakeven Data is Inadequate Decision Information</t>
  </si>
  <si>
    <t>Total Cost of Gain</t>
  </si>
  <si>
    <t xml:space="preserve">Cost of Net Gain </t>
  </si>
  <si>
    <t>Cost of Feeder</t>
  </si>
  <si>
    <t>% of Total</t>
  </si>
  <si>
    <t>Check</t>
  </si>
  <si>
    <t>Net Margin With Target Return</t>
  </si>
  <si>
    <t>Retained Ownership Finishing Cattle - Calculate the Total Costs and Net Margin</t>
  </si>
  <si>
    <t>Total Feedyard Costs of Gain per Lb.</t>
  </si>
  <si>
    <t>Feedyard level included direct costs and indirect or yardage cost.</t>
  </si>
  <si>
    <t>Feeder owner indirect costs.</t>
  </si>
  <si>
    <t>*Feeder owner indirect costs.</t>
  </si>
  <si>
    <t xml:space="preserve">Feeder cattle </t>
  </si>
  <si>
    <t>Net/Head</t>
  </si>
  <si>
    <t xml:space="preserve">     $/Cwt.</t>
  </si>
  <si>
    <t xml:space="preserve">Full Cost + Target Return "breakeven Cost" </t>
  </si>
  <si>
    <t>Breaking even is financial failure as a business is not financially sustainable if net price received in retained ownership merely covers feedyard direct costs. Full cost breakeven are not reported in the cattle sector.  That is the feeder cattle owner’s responsibility. This decision aid calculates full cost breakeven cost or price.</t>
  </si>
  <si>
    <t>$/Cwt./Out</t>
  </si>
  <si>
    <t>Feeder owner targer net margin or net income.</t>
  </si>
  <si>
    <t>Feedyard level calculations of retained ownership are only direct feedyard costs of production. The only interest cost is for capital provided by the feedyard to the feeder owner but does not include the feeder owners equity capital. Nothing is included to cover the feeder’s owner’s indirect cost of labor and management (living withdrawals) or taxes. When doing a projection this must be included in the feeder’ initial payweight feeder costs or added into the retained ownership projection.</t>
  </si>
  <si>
    <t>Feeder and Finished Cattle Retained Ownership Decisions</t>
  </si>
  <si>
    <t xml:space="preserve">  Retained Ownership Finished Cattle Projection</t>
  </si>
  <si>
    <t>Return On Equity Including Target Margin - ROE</t>
  </si>
  <si>
    <t>% Equity</t>
  </si>
  <si>
    <t>Target Retn.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</si>
</sst>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quot;$&quot;#,##0.00"/>
    <numFmt numFmtId="165" formatCode="&quot;$&quot;#,##0"/>
    <numFmt numFmtId="166" formatCode="[$-409]d\-mmm\-yy;@"/>
    <numFmt numFmtId="167" formatCode="_(* #,##0_);_(* \(#,##0\);_(* &quot;-&quot;??_);_(@_)"/>
    <numFmt numFmtId="168" formatCode="#,##0.0_);[Red]\(#,##0.0\)"/>
    <numFmt numFmtId="169" formatCode="0.0%"/>
    <numFmt numFmtId="170" formatCode="&quot;$&quot;#,##0.000"/>
  </numFmts>
  <fonts count="25">
    <font>
      <sz val="10"/>
      <name val="Arial"/>
    </font>
    <font>
      <sz val="10"/>
      <name val="Arial"/>
    </font>
    <font>
      <sz val="12"/>
      <name val="Arial"/>
      <family val="2"/>
    </font>
    <font>
      <b/>
      <sz val="12"/>
      <name val="Arial"/>
      <family val="2"/>
    </font>
    <font>
      <sz val="12"/>
      <name val="Arial"/>
      <family val="2"/>
    </font>
    <font>
      <sz val="12"/>
      <color indexed="39"/>
      <name val="Arial"/>
      <family val="2"/>
    </font>
    <font>
      <sz val="12"/>
      <color indexed="39"/>
      <name val="Arial"/>
      <family val="2"/>
    </font>
    <font>
      <b/>
      <sz val="12"/>
      <name val="Arial"/>
      <family val="2"/>
    </font>
    <font>
      <sz val="10"/>
      <name val="Arial"/>
      <family val="2"/>
    </font>
    <font>
      <b/>
      <sz val="10"/>
      <name val="Arial"/>
      <family val="2"/>
    </font>
    <font>
      <sz val="10"/>
      <color indexed="39"/>
      <name val="Arial"/>
      <family val="2"/>
    </font>
    <font>
      <b/>
      <sz val="12"/>
      <color indexed="39"/>
      <name val="Arial"/>
      <family val="2"/>
    </font>
    <font>
      <sz val="10"/>
      <name val="Arial"/>
      <family val="2"/>
    </font>
    <font>
      <b/>
      <sz val="11"/>
      <name val="Arial"/>
      <family val="2"/>
    </font>
    <font>
      <b/>
      <sz val="8"/>
      <name val="Arial"/>
      <family val="2"/>
    </font>
    <font>
      <sz val="12"/>
      <name val="Arial"/>
    </font>
    <font>
      <sz val="8"/>
      <name val="Arial"/>
    </font>
    <font>
      <sz val="12"/>
      <color rgb="FF0000FF"/>
      <name val="Arial"/>
      <family val="2"/>
    </font>
    <font>
      <b/>
      <sz val="12"/>
      <color theme="1"/>
      <name val="Times New Roman"/>
      <family val="1"/>
    </font>
    <font>
      <sz val="12"/>
      <color theme="1"/>
      <name val="Times New Roman"/>
      <family val="1"/>
    </font>
    <font>
      <sz val="11"/>
      <color theme="1"/>
      <name val="Times New Roman"/>
      <family val="1"/>
    </font>
    <font>
      <sz val="12"/>
      <name val="Times New Roman"/>
      <family val="1"/>
    </font>
    <font>
      <b/>
      <sz val="12"/>
      <name val="Times New Roman"/>
      <family val="1"/>
    </font>
    <font>
      <sz val="8"/>
      <name val="Arial"/>
      <family val="2"/>
    </font>
    <font>
      <sz val="11"/>
      <name val="Arial"/>
      <family val="2"/>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2" fillId="0" borderId="0" xfId="0" applyFont="1"/>
    <xf numFmtId="0" fontId="3" fillId="0" borderId="0" xfId="0" applyFont="1"/>
    <xf numFmtId="0" fontId="7" fillId="0" borderId="0" xfId="0" applyFont="1"/>
    <xf numFmtId="0" fontId="3" fillId="0" borderId="0" xfId="0" applyFont="1" applyAlignment="1">
      <alignment horizontal="center"/>
    </xf>
    <xf numFmtId="38" fontId="6" fillId="0" borderId="0" xfId="0" applyNumberFormat="1" applyFont="1"/>
    <xf numFmtId="6" fontId="6" fillId="0" borderId="0" xfId="0" applyNumberFormat="1" applyFont="1"/>
    <xf numFmtId="8" fontId="6" fillId="0" borderId="0" xfId="0" applyNumberFormat="1" applyFont="1"/>
    <xf numFmtId="8" fontId="3" fillId="0" borderId="0" xfId="0" applyNumberFormat="1" applyFont="1"/>
    <xf numFmtId="8" fontId="0" fillId="0" borderId="0" xfId="0" applyNumberFormat="1"/>
    <xf numFmtId="6" fontId="2" fillId="0" borderId="0" xfId="0" applyNumberFormat="1" applyFont="1"/>
    <xf numFmtId="164" fontId="2" fillId="0" borderId="0" xfId="0" applyNumberFormat="1" applyFont="1"/>
    <xf numFmtId="6" fontId="0" fillId="0" borderId="0" xfId="0" applyNumberFormat="1"/>
    <xf numFmtId="6" fontId="3" fillId="0" borderId="0" xfId="0" applyNumberFormat="1" applyFont="1"/>
    <xf numFmtId="6" fontId="1" fillId="0" borderId="0" xfId="0" applyNumberFormat="1" applyFont="1"/>
    <xf numFmtId="0" fontId="8" fillId="0" borderId="0" xfId="0" applyFont="1"/>
    <xf numFmtId="0" fontId="3" fillId="0" borderId="0" xfId="0" applyFont="1" applyFill="1" applyBorder="1"/>
    <xf numFmtId="169" fontId="3" fillId="0" borderId="0" xfId="2" applyNumberFormat="1" applyFont="1"/>
    <xf numFmtId="0" fontId="8" fillId="0" borderId="0" xfId="0" applyFont="1" applyFill="1" applyBorder="1"/>
    <xf numFmtId="0" fontId="10" fillId="0" borderId="0" xfId="0" applyFont="1" applyProtection="1">
      <protection locked="0"/>
    </xf>
    <xf numFmtId="0" fontId="12" fillId="0" borderId="0" xfId="0" applyFont="1"/>
    <xf numFmtId="38" fontId="2" fillId="0" borderId="0" xfId="0" applyNumberFormat="1" applyFont="1"/>
    <xf numFmtId="166" fontId="2" fillId="0" borderId="0" xfId="0" applyNumberFormat="1" applyFont="1"/>
    <xf numFmtId="0" fontId="5" fillId="0" borderId="0" xfId="0" applyFont="1" applyAlignment="1" applyProtection="1">
      <alignment horizontal="left"/>
      <protection locked="0"/>
    </xf>
    <xf numFmtId="8" fontId="11" fillId="0" borderId="0" xfId="0" applyNumberFormat="1" applyFont="1" applyProtection="1">
      <protection locked="0"/>
    </xf>
    <xf numFmtId="8" fontId="11" fillId="0" borderId="0" xfId="0" applyNumberFormat="1" applyFont="1"/>
    <xf numFmtId="0" fontId="13" fillId="0" borderId="0" xfId="0" applyFont="1" applyAlignment="1">
      <alignment horizontal="right"/>
    </xf>
    <xf numFmtId="8" fontId="3" fillId="0" borderId="0" xfId="0" applyNumberFormat="1" applyFont="1" applyAlignment="1">
      <alignment horizontal="center"/>
    </xf>
    <xf numFmtId="3" fontId="2" fillId="0" borderId="0" xfId="0" applyNumberFormat="1" applyFont="1"/>
    <xf numFmtId="168" fontId="6" fillId="0" borderId="0" xfId="0" applyNumberFormat="1" applyFont="1" applyProtection="1">
      <protection locked="0"/>
    </xf>
    <xf numFmtId="38" fontId="3" fillId="0" borderId="0" xfId="0" applyNumberFormat="1" applyFont="1"/>
    <xf numFmtId="38" fontId="4" fillId="0" borderId="0" xfId="0" applyNumberFormat="1" applyFont="1"/>
    <xf numFmtId="38" fontId="6" fillId="0" borderId="1" xfId="0" applyNumberFormat="1" applyFont="1" applyBorder="1" applyProtection="1">
      <protection locked="0"/>
    </xf>
    <xf numFmtId="0" fontId="4" fillId="0" borderId="0" xfId="0" applyFont="1"/>
    <xf numFmtId="167" fontId="2" fillId="0" borderId="0" xfId="1" applyNumberFormat="1" applyFont="1"/>
    <xf numFmtId="167" fontId="2" fillId="0" borderId="0" xfId="0" applyNumberFormat="1" applyFont="1"/>
    <xf numFmtId="38" fontId="2" fillId="0" borderId="0" xfId="0" applyNumberFormat="1" applyFont="1" applyProtection="1"/>
    <xf numFmtId="6" fontId="2" fillId="0" borderId="0" xfId="0" applyNumberFormat="1" applyFont="1" applyProtection="1"/>
    <xf numFmtId="1" fontId="2" fillId="0" borderId="0" xfId="0" applyNumberFormat="1" applyFont="1"/>
    <xf numFmtId="6" fontId="3" fillId="0" borderId="0" xfId="0" applyNumberFormat="1" applyFont="1" applyProtection="1">
      <protection locked="0"/>
    </xf>
    <xf numFmtId="165" fontId="2" fillId="0" borderId="0" xfId="0" applyNumberFormat="1" applyFont="1"/>
    <xf numFmtId="0" fontId="9" fillId="0" borderId="0" xfId="0" applyFont="1" applyAlignment="1">
      <alignment horizontal="center"/>
    </xf>
    <xf numFmtId="166" fontId="8" fillId="0" borderId="0" xfId="0" applyNumberFormat="1" applyFont="1" applyProtection="1">
      <protection locked="0"/>
    </xf>
    <xf numFmtId="166" fontId="3" fillId="0" borderId="0" xfId="0" applyNumberFormat="1" applyFont="1" applyBorder="1" applyAlignment="1" applyProtection="1">
      <alignment horizontal="left"/>
    </xf>
    <xf numFmtId="6" fontId="4" fillId="0" borderId="0" xfId="0" applyNumberFormat="1" applyFont="1"/>
    <xf numFmtId="2" fontId="6" fillId="0" borderId="0" xfId="0" applyNumberFormat="1" applyFont="1" applyProtection="1">
      <protection locked="0"/>
    </xf>
    <xf numFmtId="9" fontId="0" fillId="0" borderId="0" xfId="2" applyFont="1"/>
    <xf numFmtId="6" fontId="8" fillId="0" borderId="0" xfId="0" applyNumberFormat="1" applyFont="1"/>
    <xf numFmtId="2" fontId="4" fillId="0" borderId="0" xfId="0" applyNumberFormat="1" applyFont="1"/>
    <xf numFmtId="8" fontId="14" fillId="0" borderId="0" xfId="0" applyNumberFormat="1" applyFont="1"/>
    <xf numFmtId="0" fontId="3" fillId="0" borderId="0" xfId="0" applyFont="1" applyFill="1" applyAlignment="1">
      <alignment horizontal="center"/>
    </xf>
    <xf numFmtId="0" fontId="15" fillId="0" borderId="0" xfId="0" applyFont="1"/>
    <xf numFmtId="0" fontId="3" fillId="0" borderId="0" xfId="0" applyFont="1" applyFill="1"/>
    <xf numFmtId="8" fontId="3" fillId="0" borderId="0" xfId="0" applyNumberFormat="1" applyFont="1" applyFill="1"/>
    <xf numFmtId="0" fontId="0" fillId="0" borderId="0" xfId="0" applyFill="1"/>
    <xf numFmtId="6" fontId="3" fillId="0" borderId="0" xfId="0" applyNumberFormat="1" applyFont="1" applyFill="1"/>
    <xf numFmtId="0" fontId="9" fillId="0" borderId="0" xfId="0" applyFont="1" applyFill="1"/>
    <xf numFmtId="0" fontId="3" fillId="0" borderId="0" xfId="0" applyFont="1" applyFill="1" applyAlignment="1">
      <alignment horizontal="right"/>
    </xf>
    <xf numFmtId="8" fontId="7" fillId="0" borderId="0" xfId="0" applyNumberFormat="1" applyFont="1" applyFill="1"/>
    <xf numFmtId="8" fontId="6" fillId="0" borderId="2" xfId="0" applyNumberFormat="1" applyFont="1" applyBorder="1" applyProtection="1">
      <protection locked="0"/>
    </xf>
    <xf numFmtId="0" fontId="0" fillId="0" borderId="0" xfId="0" applyAlignment="1">
      <alignment horizontal="center"/>
    </xf>
    <xf numFmtId="0" fontId="0" fillId="0" borderId="3" xfId="0" applyBorder="1"/>
    <xf numFmtId="166" fontId="2" fillId="0" borderId="0" xfId="0" applyNumberFormat="1" applyFont="1" applyProtection="1"/>
    <xf numFmtId="170" fontId="2" fillId="0" borderId="0" xfId="0" applyNumberFormat="1" applyFont="1"/>
    <xf numFmtId="6" fontId="6" fillId="0" borderId="4" xfId="0" applyNumberFormat="1" applyFont="1" applyBorder="1" applyProtection="1">
      <protection locked="0"/>
    </xf>
    <xf numFmtId="10" fontId="3" fillId="0" borderId="0" xfId="2" applyNumberFormat="1" applyFont="1"/>
    <xf numFmtId="8" fontId="5" fillId="0" borderId="2" xfId="0" applyNumberFormat="1" applyFont="1" applyBorder="1" applyProtection="1">
      <protection locked="0"/>
    </xf>
    <xf numFmtId="166" fontId="17" fillId="0" borderId="7" xfId="0" applyNumberFormat="1" applyFont="1" applyBorder="1" applyProtection="1">
      <protection locked="0"/>
    </xf>
    <xf numFmtId="38" fontId="6" fillId="0" borderId="4" xfId="0" applyNumberFormat="1" applyFont="1" applyBorder="1" applyProtection="1">
      <protection locked="0"/>
    </xf>
    <xf numFmtId="168" fontId="5" fillId="0" borderId="1" xfId="0" applyNumberFormat="1" applyFont="1" applyBorder="1" applyProtection="1">
      <protection locked="0"/>
    </xf>
    <xf numFmtId="0" fontId="3" fillId="0" borderId="0" xfId="0" applyFont="1" applyAlignment="1">
      <alignment horizontal="center"/>
    </xf>
    <xf numFmtId="38" fontId="6" fillId="0" borderId="0" xfId="0" applyNumberFormat="1" applyFont="1" applyBorder="1" applyProtection="1">
      <protection locked="0"/>
    </xf>
    <xf numFmtId="8" fontId="2" fillId="0" borderId="0" xfId="0" applyNumberFormat="1" applyFont="1"/>
    <xf numFmtId="9" fontId="3" fillId="0" borderId="0" xfId="2" applyFont="1"/>
    <xf numFmtId="9" fontId="8" fillId="0" borderId="0" xfId="2" applyFont="1"/>
    <xf numFmtId="164" fontId="3" fillId="0" borderId="9" xfId="2" applyNumberFormat="1" applyFont="1" applyBorder="1"/>
    <xf numFmtId="8" fontId="3" fillId="0" borderId="0" xfId="0" applyNumberFormat="1" applyFont="1" applyFill="1" applyBorder="1"/>
    <xf numFmtId="8" fontId="3" fillId="2" borderId="0" xfId="0" applyNumberFormat="1" applyFont="1" applyFill="1" applyBorder="1"/>
    <xf numFmtId="8" fontId="3" fillId="2" borderId="0" xfId="0" applyNumberFormat="1" applyFont="1" applyFill="1"/>
    <xf numFmtId="164" fontId="2" fillId="0" borderId="3" xfId="2" applyNumberFormat="1" applyFont="1" applyBorder="1"/>
    <xf numFmtId="0" fontId="18" fillId="0" borderId="0" xfId="0" applyFont="1" applyAlignment="1">
      <alignment horizontal="center"/>
    </xf>
    <xf numFmtId="0" fontId="18" fillId="0" borderId="0" xfId="0" applyFont="1" applyAlignment="1">
      <alignment vertical="center" wrapText="1"/>
    </xf>
    <xf numFmtId="0" fontId="19" fillId="0" borderId="0" xfId="0" applyFont="1" applyAlignment="1">
      <alignment wrapText="1"/>
    </xf>
    <xf numFmtId="0" fontId="20" fillId="0" borderId="0" xfId="0" applyFont="1"/>
    <xf numFmtId="0" fontId="21" fillId="0" borderId="0" xfId="0" applyFont="1" applyAlignment="1">
      <alignment wrapText="1"/>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justify" vertical="center"/>
    </xf>
    <xf numFmtId="0" fontId="22" fillId="0" borderId="0" xfId="0" applyFont="1"/>
    <xf numFmtId="0" fontId="22" fillId="0" borderId="0" xfId="0" applyFont="1" applyAlignment="1">
      <alignment horizontal="justify" vertical="center"/>
    </xf>
    <xf numFmtId="0" fontId="22" fillId="0" borderId="0" xfId="0" applyFont="1" applyAlignment="1">
      <alignment horizontal="center"/>
    </xf>
    <xf numFmtId="0" fontId="22" fillId="0" borderId="0" xfId="0" applyFont="1" applyAlignment="1">
      <alignment horizontal="center" vertical="center"/>
    </xf>
    <xf numFmtId="168" fontId="4" fillId="0" borderId="0" xfId="0" applyNumberFormat="1" applyFont="1"/>
    <xf numFmtId="0" fontId="23" fillId="0" borderId="0" xfId="0" applyFont="1" applyFill="1" applyBorder="1"/>
    <xf numFmtId="165" fontId="4" fillId="0" borderId="0" xfId="0" applyNumberFormat="1" applyFont="1"/>
    <xf numFmtId="169" fontId="0" fillId="0" borderId="0" xfId="2" applyNumberFormat="1" applyFont="1"/>
    <xf numFmtId="8" fontId="17" fillId="0" borderId="1" xfId="0" applyNumberFormat="1" applyFont="1" applyBorder="1" applyProtection="1">
      <protection locked="0"/>
    </xf>
    <xf numFmtId="8" fontId="11" fillId="0" borderId="1" xfId="0" applyNumberFormat="1" applyFont="1" applyBorder="1" applyProtection="1">
      <protection locked="0"/>
    </xf>
    <xf numFmtId="1" fontId="6" fillId="0" borderId="0" xfId="0" applyNumberFormat="1" applyFont="1" applyProtection="1">
      <protection locked="0"/>
    </xf>
    <xf numFmtId="0" fontId="9" fillId="0" borderId="0" xfId="0" applyFont="1"/>
    <xf numFmtId="0" fontId="10" fillId="0" borderId="5"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166" fontId="17" fillId="0" borderId="5" xfId="0" applyNumberFormat="1"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6" xfId="0" applyBorder="1" applyAlignment="1" applyProtection="1">
      <alignment horizontal="left"/>
      <protection locked="0"/>
    </xf>
    <xf numFmtId="0" fontId="13" fillId="0" borderId="0" xfId="0" applyFont="1" applyAlignment="1" applyProtection="1">
      <alignment horizontal="center"/>
      <protection locked="0"/>
    </xf>
    <xf numFmtId="0" fontId="24"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CCFFCC"/>
      <color rgb="FF0000FF"/>
      <color rgb="FF4206BA"/>
      <color rgb="FF101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Revenue, Costs and Margin</a:t>
            </a:r>
          </a:p>
        </c:rich>
      </c:tx>
      <c:layout>
        <c:manualLayout>
          <c:xMode val="edge"/>
          <c:yMode val="edge"/>
          <c:x val="0.32689266812959855"/>
          <c:y val="3.4055864069622882E-2"/>
        </c:manualLayout>
      </c:layout>
      <c:overlay val="0"/>
      <c:spPr>
        <a:noFill/>
        <a:ln w="25400">
          <a:noFill/>
        </a:ln>
      </c:spPr>
    </c:title>
    <c:autoTitleDeleted val="0"/>
    <c:plotArea>
      <c:layout>
        <c:manualLayout>
          <c:layoutTarget val="inner"/>
          <c:xMode val="edge"/>
          <c:yMode val="edge"/>
          <c:x val="0.16264115753503286"/>
          <c:y val="0.21052631578947367"/>
          <c:w val="0.81481609616561013"/>
          <c:h val="0.60371517027863775"/>
        </c:manualLayout>
      </c:layout>
      <c:barChart>
        <c:barDir val="col"/>
        <c:grouping val="clustered"/>
        <c:varyColors val="0"/>
        <c:ser>
          <c:idx val="0"/>
          <c:order val="0"/>
          <c:tx>
            <c:strRef>
              <c:f>'1.Value of Gain&amp;MarginAnalysis'!$G$110</c:f>
              <c:strCache>
                <c:ptCount val="1"/>
                <c:pt idx="0">
                  <c:v>$/Head</c:v>
                </c:pt>
              </c:strCache>
            </c:strRef>
          </c:tx>
          <c:spPr>
            <a:solidFill>
              <a:srgbClr val="00FF00"/>
            </a:solidFill>
            <a:ln w="12700">
              <a:solidFill>
                <a:srgbClr val="000000"/>
              </a:solidFill>
              <a:prstDash val="solid"/>
            </a:ln>
          </c:spPr>
          <c:invertIfNegative val="0"/>
          <c:cat>
            <c:strRef>
              <c:f>'1.Value of Gain&amp;MarginAnalysis'!$H$109:$K$109</c:f>
              <c:strCache>
                <c:ptCount val="4"/>
                <c:pt idx="0">
                  <c:v>Revenue</c:v>
                </c:pt>
                <c:pt idx="1">
                  <c:v>Feeder Cost</c:v>
                </c:pt>
                <c:pt idx="2">
                  <c:v>Total Cost of Gain</c:v>
                </c:pt>
                <c:pt idx="3">
                  <c:v>Net Margin</c:v>
                </c:pt>
              </c:strCache>
            </c:strRef>
          </c:cat>
          <c:val>
            <c:numRef>
              <c:f>'1.Value of Gain&amp;MarginAnalysis'!$H$110:$K$110</c:f>
              <c:numCache>
                <c:formatCode>"$"#,##0_);[Red]\("$"#,##0\)</c:formatCode>
                <c:ptCount val="4"/>
                <c:pt idx="0">
                  <c:v>2030</c:v>
                </c:pt>
                <c:pt idx="1">
                  <c:v>1252.5252525252524</c:v>
                </c:pt>
                <c:pt idx="2">
                  <c:v>779.78537839871308</c:v>
                </c:pt>
                <c:pt idx="3">
                  <c:v>-2.3106309239655047</c:v>
                </c:pt>
              </c:numCache>
            </c:numRef>
          </c:val>
          <c:extLst>
            <c:ext xmlns:c16="http://schemas.microsoft.com/office/drawing/2014/chart" uri="{C3380CC4-5D6E-409C-BE32-E72D297353CC}">
              <c16:uniqueId val="{00000000-6A20-4D6A-B731-96B1F9016715}"/>
            </c:ext>
          </c:extLst>
        </c:ser>
        <c:dLbls>
          <c:showLegendKey val="0"/>
          <c:showVal val="0"/>
          <c:showCatName val="0"/>
          <c:showSerName val="0"/>
          <c:showPercent val="0"/>
          <c:showBubbleSize val="0"/>
        </c:dLbls>
        <c:gapWidth val="150"/>
        <c:axId val="322139120"/>
        <c:axId val="1"/>
      </c:barChart>
      <c:catAx>
        <c:axId val="32213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$/Head</a:t>
                </a:r>
              </a:p>
            </c:rich>
          </c:tx>
          <c:layout>
            <c:manualLayout>
              <c:xMode val="edge"/>
              <c:yMode val="edge"/>
              <c:x val="2.5764973538143797E-2"/>
              <c:y val="0.43653244923331952"/>
            </c:manualLayout>
          </c:layout>
          <c:overlay val="0"/>
          <c:spPr>
            <a:noFill/>
            <a:ln w="25400">
              <a:noFill/>
            </a:ln>
          </c:spPr>
        </c:title>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213912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Costs and Target</a:t>
            </a:r>
            <a:r>
              <a:rPr lang="en-US" baseline="0"/>
              <a:t> Margin - </a:t>
            </a:r>
            <a:r>
              <a:rPr lang="en-US"/>
              <a:t> Percent by Item per Head</a:t>
            </a:r>
          </a:p>
        </c:rich>
      </c:tx>
      <c:layout>
        <c:manualLayout>
          <c:xMode val="edge"/>
          <c:yMode val="edge"/>
          <c:x val="0.27936569978186299"/>
          <c:y val="3.324083627477599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666708002709577"/>
          <c:y val="0.46537459067503284"/>
          <c:w val="0.27460360026599745"/>
          <c:h val="0.1911359925986742"/>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403-4962-A01D-434A405E23A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6403-4962-A01D-434A405E23A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6403-4962-A01D-434A405E23A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6403-4962-A01D-434A405E23A9}"/>
              </c:ext>
            </c:extLst>
          </c:dPt>
          <c:dLbls>
            <c:numFmt formatCode="0%" sourceLinked="0"/>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'1.Value of Gain&amp;MarginAnalysis'!$F$113:$F$115</c:f>
              <c:strCache>
                <c:ptCount val="3"/>
                <c:pt idx="0">
                  <c:v>Cost of Feeder</c:v>
                </c:pt>
                <c:pt idx="1">
                  <c:v>Cost of Gain </c:v>
                </c:pt>
                <c:pt idx="2">
                  <c:v>Target Margin</c:v>
                </c:pt>
              </c:strCache>
            </c:strRef>
          </c:cat>
          <c:val>
            <c:numRef>
              <c:f>'1.Value of Gain&amp;MarginAnalysis'!$H$113:$H$115</c:f>
              <c:numCache>
                <c:formatCode>"$"#,##0</c:formatCode>
                <c:ptCount val="3"/>
                <c:pt idx="0">
                  <c:v>1252.5252525252524</c:v>
                </c:pt>
                <c:pt idx="1">
                  <c:v>749.78537839871319</c:v>
                </c:pt>
                <c:pt idx="2">
                  <c:v>30</c:v>
                </c:pt>
              </c:numCache>
            </c:numRef>
          </c:val>
          <c:extLst>
            <c:ext xmlns:c16="http://schemas.microsoft.com/office/drawing/2014/chart" uri="{C3380CC4-5D6E-409C-BE32-E72D297353CC}">
              <c16:uniqueId val="{00000004-6403-4962-A01D-434A405E23A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524043221646602"/>
          <c:y val="0.44873732408621325"/>
          <c:w val="0.17554590767408856"/>
          <c:h val="0.25111459526678825"/>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130629</xdr:colOff>
      <xdr:row>54</xdr:row>
      <xdr:rowOff>119743</xdr:rowOff>
    </xdr:from>
    <xdr:to>
      <xdr:col>6</xdr:col>
      <xdr:colOff>783771</xdr:colOff>
      <xdr:row>73</xdr:row>
      <xdr:rowOff>119743</xdr:rowOff>
    </xdr:to>
    <xdr:graphicFrame macro="">
      <xdr:nvGraphicFramePr>
        <xdr:cNvPr id="1065" name="Chart 1">
          <a:extLst>
            <a:ext uri="{FF2B5EF4-FFF2-40B4-BE49-F238E27FC236}">
              <a16:creationId xmlns:a16="http://schemas.microsoft.com/office/drawing/2014/main" id="{C7385F8E-F933-4F84-ABEC-36E86DEB1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141514</xdr:colOff>
      <xdr:row>76</xdr:row>
      <xdr:rowOff>81642</xdr:rowOff>
    </xdr:from>
    <xdr:to>
      <xdr:col>6</xdr:col>
      <xdr:colOff>762000</xdr:colOff>
      <xdr:row>101</xdr:row>
      <xdr:rowOff>70756</xdr:rowOff>
    </xdr:to>
    <xdr:graphicFrame macro="">
      <xdr:nvGraphicFramePr>
        <xdr:cNvPr id="1066" name="Chart 2">
          <a:extLst>
            <a:ext uri="{FF2B5EF4-FFF2-40B4-BE49-F238E27FC236}">
              <a16:creationId xmlns:a16="http://schemas.microsoft.com/office/drawing/2014/main" id="{8267A49E-034D-4F75-B528-00C86F0D7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6"/>
  <sheetViews>
    <sheetView tabSelected="1" topLeftCell="A15" zoomScaleNormal="100" workbookViewId="0">
      <selection activeCell="C9" sqref="C9"/>
    </sheetView>
  </sheetViews>
  <sheetFormatPr defaultRowHeight="12.45"/>
  <cols>
    <col min="1" max="1" width="4.84375" customWidth="1"/>
    <col min="2" max="2" width="37.23046875" customWidth="1"/>
    <col min="3" max="3" width="14.69140625" customWidth="1"/>
    <col min="4" max="4" width="5.3828125" customWidth="1"/>
    <col min="5" max="5" width="12.69140625" customWidth="1"/>
    <col min="6" max="6" width="13.3828125" customWidth="1"/>
    <col min="7" max="7" width="12.23046875" customWidth="1"/>
    <col min="8" max="8" width="10.69140625" bestFit="1" customWidth="1"/>
    <col min="9" max="9" width="12.61328125" customWidth="1"/>
    <col min="10" max="10" width="10.84375" customWidth="1"/>
    <col min="11" max="11" width="9.84375" customWidth="1"/>
    <col min="12" max="12" width="30.84375" customWidth="1"/>
    <col min="13" max="13" width="10.15234375" bestFit="1" customWidth="1"/>
    <col min="14" max="14" width="9.23046875" bestFit="1" customWidth="1"/>
  </cols>
  <sheetData>
    <row r="1" spans="2:16" ht="15.45">
      <c r="B1" s="104" t="s">
        <v>96</v>
      </c>
      <c r="C1" s="104"/>
      <c r="D1" s="104"/>
      <c r="E1" s="104"/>
      <c r="F1" s="105"/>
      <c r="G1" s="60"/>
      <c r="H1" s="4"/>
    </row>
    <row r="2" spans="2:16" ht="15.45">
      <c r="B2" s="109" t="s">
        <v>89</v>
      </c>
      <c r="C2" s="110"/>
      <c r="D2" s="110"/>
      <c r="E2" s="110"/>
      <c r="F2" s="110"/>
      <c r="G2" s="4"/>
      <c r="H2" s="4"/>
    </row>
    <row r="3" spans="2:16" ht="15.45">
      <c r="B3" s="101" t="s">
        <v>110</v>
      </c>
      <c r="C3" s="102"/>
      <c r="D3" s="102"/>
      <c r="E3" s="103"/>
      <c r="F3" s="23"/>
      <c r="G3" s="23"/>
      <c r="H3" s="23"/>
      <c r="L3" s="2" t="s">
        <v>31</v>
      </c>
      <c r="N3" t="s">
        <v>29</v>
      </c>
    </row>
    <row r="4" spans="2:16" ht="15.45">
      <c r="F4" s="4" t="s">
        <v>9</v>
      </c>
      <c r="L4" s="33" t="s">
        <v>32</v>
      </c>
      <c r="M4" s="44">
        <f>F14/E12</f>
        <v>2030</v>
      </c>
      <c r="N4" s="46">
        <f t="shared" ref="N4:N11" si="0">M4/$M$11</f>
        <v>0.99886305228698469</v>
      </c>
    </row>
    <row r="5" spans="2:16" ht="15">
      <c r="B5" s="1" t="s">
        <v>51</v>
      </c>
      <c r="C5" s="67">
        <v>44664</v>
      </c>
      <c r="D5" s="61"/>
      <c r="E5" s="22">
        <f>C48</f>
        <v>44826.5</v>
      </c>
      <c r="F5" s="32">
        <v>100</v>
      </c>
      <c r="G5" s="1"/>
      <c r="L5" s="1" t="s">
        <v>50</v>
      </c>
      <c r="M5" s="44">
        <f>F8/E12</f>
        <v>1252.5252525252524</v>
      </c>
      <c r="N5" s="46">
        <f t="shared" si="0"/>
        <v>0.61630600827778326</v>
      </c>
    </row>
    <row r="6" spans="2:16" ht="15.45">
      <c r="B6" s="1" t="s">
        <v>18</v>
      </c>
      <c r="C6" s="106" t="s">
        <v>101</v>
      </c>
      <c r="D6" s="107"/>
      <c r="E6" s="108"/>
      <c r="F6" s="27" t="s">
        <v>13</v>
      </c>
      <c r="G6" s="27"/>
      <c r="L6" s="1" t="s">
        <v>91</v>
      </c>
      <c r="M6" s="44">
        <f>F20/E12</f>
        <v>654.75757575757575</v>
      </c>
      <c r="N6" s="46">
        <f t="shared" si="0"/>
        <v>0.3221739658272112</v>
      </c>
    </row>
    <row r="7" spans="2:16" ht="15.45">
      <c r="B7" s="1" t="s">
        <v>64</v>
      </c>
      <c r="C7" s="68">
        <v>800</v>
      </c>
      <c r="D7" s="5"/>
      <c r="E7" s="4" t="s">
        <v>1</v>
      </c>
      <c r="F7" s="34">
        <f>C7*F5</f>
        <v>80000</v>
      </c>
      <c r="G7" s="34"/>
      <c r="L7" s="1" t="s">
        <v>52</v>
      </c>
      <c r="M7" s="10">
        <f>F21/E12</f>
        <v>73.125</v>
      </c>
      <c r="N7" s="46">
        <f t="shared" si="0"/>
        <v>3.5981212166741751E-2</v>
      </c>
    </row>
    <row r="8" spans="2:16" ht="15.45">
      <c r="B8" s="1" t="s">
        <v>65</v>
      </c>
      <c r="C8" s="97">
        <v>155</v>
      </c>
      <c r="D8" s="25"/>
      <c r="E8" s="8">
        <f>C8*C7*0.01</f>
        <v>1240</v>
      </c>
      <c r="F8" s="13">
        <f>E8*F5</f>
        <v>124000</v>
      </c>
      <c r="G8" s="13"/>
      <c r="H8" t="s">
        <v>11</v>
      </c>
      <c r="L8" s="1" t="s">
        <v>35</v>
      </c>
      <c r="M8" s="40">
        <f>F23/E12</f>
        <v>21.902802641137399</v>
      </c>
      <c r="N8" s="74">
        <f t="shared" si="0"/>
        <v>1.0777290788062036E-2</v>
      </c>
    </row>
    <row r="9" spans="2:16" ht="15.45">
      <c r="B9" s="2"/>
      <c r="C9" s="24"/>
      <c r="D9" s="25"/>
      <c r="E9" s="4" t="s">
        <v>9</v>
      </c>
      <c r="F9" s="13"/>
      <c r="G9" s="13"/>
      <c r="L9" s="2" t="s">
        <v>53</v>
      </c>
      <c r="M9" s="8">
        <f>SUM(M6:M8)</f>
        <v>749.78537839871319</v>
      </c>
      <c r="N9" s="73">
        <f t="shared" si="0"/>
        <v>0.36893246878201502</v>
      </c>
      <c r="P9" s="12">
        <f>M9+M5</f>
        <v>2002.3106309239656</v>
      </c>
    </row>
    <row r="10" spans="2:16" ht="15.45">
      <c r="B10" s="33" t="s">
        <v>8</v>
      </c>
      <c r="C10" s="69">
        <v>1</v>
      </c>
      <c r="D10" s="25"/>
      <c r="E10" s="93">
        <f>C10*F5*0.01</f>
        <v>1</v>
      </c>
      <c r="H10" s="19"/>
      <c r="L10" s="1" t="s">
        <v>26</v>
      </c>
      <c r="M10" s="44">
        <f>E25</f>
        <v>30</v>
      </c>
      <c r="N10" s="46">
        <f t="shared" si="0"/>
        <v>1.4761522940201745E-2</v>
      </c>
    </row>
    <row r="11" spans="2:16" ht="15.45">
      <c r="B11" s="33"/>
      <c r="C11" s="29"/>
      <c r="D11" s="25"/>
      <c r="E11" s="31"/>
      <c r="F11" s="30"/>
      <c r="G11" s="30"/>
      <c r="H11" s="19"/>
      <c r="L11" s="2" t="s">
        <v>27</v>
      </c>
      <c r="M11" s="13">
        <f>M5+M9+M10</f>
        <v>2032.3106309239656</v>
      </c>
      <c r="N11" s="46">
        <f t="shared" si="0"/>
        <v>1</v>
      </c>
    </row>
    <row r="12" spans="2:16" ht="15.45">
      <c r="B12" s="1" t="s">
        <v>38</v>
      </c>
      <c r="C12" s="32">
        <v>1450</v>
      </c>
      <c r="D12" s="5"/>
      <c r="E12" s="30">
        <f>F5-E10</f>
        <v>99</v>
      </c>
      <c r="F12" s="28">
        <f>E12*C12</f>
        <v>143550</v>
      </c>
      <c r="G12" s="28"/>
    </row>
    <row r="13" spans="2:16" ht="15.45">
      <c r="B13" s="1"/>
      <c r="C13" s="41" t="s">
        <v>106</v>
      </c>
      <c r="E13" s="41" t="s">
        <v>14</v>
      </c>
      <c r="H13" s="20"/>
      <c r="L13" s="2" t="s">
        <v>28</v>
      </c>
      <c r="M13" s="13">
        <f>M4-M11</f>
        <v>-2.3106309239656184</v>
      </c>
      <c r="N13" s="46">
        <f>M13/$M$11</f>
        <v>-1.1369477130152676E-3</v>
      </c>
    </row>
    <row r="14" spans="2:16" ht="15.45">
      <c r="B14" s="2" t="s">
        <v>19</v>
      </c>
      <c r="C14" s="98">
        <v>140</v>
      </c>
      <c r="D14" s="42"/>
      <c r="E14" s="13">
        <f>C12*C14*0.01</f>
        <v>2030</v>
      </c>
      <c r="F14" s="13">
        <f>C14*C12*0.01*E12</f>
        <v>200970</v>
      </c>
      <c r="G14" s="13"/>
    </row>
    <row r="15" spans="2:16" ht="15">
      <c r="B15" s="1" t="s">
        <v>15</v>
      </c>
      <c r="C15" s="36">
        <f>C12-C7</f>
        <v>650</v>
      </c>
      <c r="E15" s="35">
        <f>F15/E12</f>
        <v>641.91919191919192</v>
      </c>
      <c r="F15" s="35">
        <f>F12-F7</f>
        <v>63550</v>
      </c>
      <c r="G15" s="35"/>
      <c r="H15" s="15" t="s">
        <v>17</v>
      </c>
      <c r="L15" s="33" t="s">
        <v>6</v>
      </c>
      <c r="M15" s="44">
        <f>M6+M10</f>
        <v>684.75757575757575</v>
      </c>
      <c r="N15" s="46">
        <f>M15/$M$11</f>
        <v>0.33693548876741297</v>
      </c>
    </row>
    <row r="16" spans="2:16" ht="15">
      <c r="B16" s="1"/>
      <c r="C16" s="6"/>
      <c r="D16" s="7"/>
      <c r="E16" s="12"/>
      <c r="F16" s="12"/>
      <c r="G16" s="12"/>
    </row>
    <row r="17" spans="2:13" ht="15">
      <c r="B17" s="1" t="s">
        <v>2</v>
      </c>
      <c r="C17" s="7">
        <f>C14-C8</f>
        <v>-15</v>
      </c>
      <c r="D17" s="7"/>
      <c r="E17" s="6"/>
      <c r="F17" s="6"/>
      <c r="G17" s="6"/>
    </row>
    <row r="18" spans="2:13" ht="15.45">
      <c r="B18" s="2" t="s">
        <v>44</v>
      </c>
      <c r="C18" s="9"/>
      <c r="D18" s="9"/>
    </row>
    <row r="19" spans="2:13" ht="15.9" thickBot="1">
      <c r="B19" s="3"/>
      <c r="C19" s="27" t="s">
        <v>57</v>
      </c>
      <c r="D19" s="9"/>
      <c r="E19" s="41" t="s">
        <v>14</v>
      </c>
      <c r="F19" s="27" t="s">
        <v>13</v>
      </c>
      <c r="G19" s="27"/>
    </row>
    <row r="20" spans="2:13" ht="15.9" thickBot="1">
      <c r="B20" s="1" t="s">
        <v>97</v>
      </c>
      <c r="C20" s="59">
        <v>1.02</v>
      </c>
      <c r="D20" s="49"/>
      <c r="E20" s="10">
        <f>C20*E15</f>
        <v>654.75757575757575</v>
      </c>
      <c r="F20" s="10">
        <f>E20*$E$12</f>
        <v>64821</v>
      </c>
      <c r="G20" s="27"/>
      <c r="H20" s="15" t="s">
        <v>98</v>
      </c>
    </row>
    <row r="21" spans="2:13" ht="15.9" thickBot="1">
      <c r="B21" s="1" t="s">
        <v>86</v>
      </c>
      <c r="C21" s="66">
        <v>0.45</v>
      </c>
      <c r="D21" s="49"/>
      <c r="E21" s="10">
        <f>C21*C47</f>
        <v>73.125</v>
      </c>
      <c r="F21" s="10">
        <f>E21*$E$12</f>
        <v>7239.375</v>
      </c>
      <c r="G21" s="27"/>
      <c r="H21" s="15" t="s">
        <v>99</v>
      </c>
    </row>
    <row r="22" spans="2:13" ht="15.45">
      <c r="B22" s="94" t="s">
        <v>100</v>
      </c>
      <c r="C22" s="27" t="s">
        <v>58</v>
      </c>
      <c r="D22" s="49" t="s">
        <v>41</v>
      </c>
      <c r="E22" s="13"/>
      <c r="F22" s="13"/>
      <c r="G22" s="10"/>
      <c r="L22" s="2" t="s">
        <v>24</v>
      </c>
    </row>
    <row r="23" spans="2:13" ht="15.45">
      <c r="B23" s="2" t="s">
        <v>40</v>
      </c>
      <c r="C23" s="8">
        <f>E23/$E$46</f>
        <v>3.4120809779269907E-2</v>
      </c>
      <c r="D23" s="32">
        <v>5</v>
      </c>
      <c r="E23" s="79">
        <f>(F26*D23*0.01)</f>
        <v>21.902802641137402</v>
      </c>
      <c r="F23" s="10">
        <f>E23*$E$12</f>
        <v>2168.3774614726026</v>
      </c>
      <c r="G23" s="10"/>
      <c r="H23" t="s">
        <v>71</v>
      </c>
      <c r="L23" s="1" t="s">
        <v>87</v>
      </c>
    </row>
    <row r="24" spans="2:13" ht="15.45">
      <c r="B24" s="2" t="s">
        <v>54</v>
      </c>
      <c r="C24" s="8">
        <f>E24/$E$46</f>
        <v>1.1680370174897341</v>
      </c>
      <c r="D24" s="71"/>
      <c r="E24" s="75">
        <f>F24/E12</f>
        <v>749.78537839871308</v>
      </c>
      <c r="F24" s="13">
        <f>SUM(F20:F23)</f>
        <v>74228.752461472599</v>
      </c>
      <c r="G24" s="72"/>
      <c r="H24" s="1" t="s">
        <v>48</v>
      </c>
      <c r="I24" s="63">
        <f>F24/F15</f>
        <v>1.1680370174897341</v>
      </c>
      <c r="L24" s="1" t="s">
        <v>49</v>
      </c>
      <c r="M24" t="s">
        <v>66</v>
      </c>
    </row>
    <row r="25" spans="2:13" ht="15.45">
      <c r="B25" s="1" t="s">
        <v>88</v>
      </c>
      <c r="C25" s="8">
        <f>E25/$E$46</f>
        <v>4.6734854445318649E-2</v>
      </c>
      <c r="E25" s="64">
        <v>30</v>
      </c>
      <c r="F25" s="37">
        <f>E25*E12</f>
        <v>2970</v>
      </c>
      <c r="G25" s="37"/>
      <c r="H25" s="15" t="s">
        <v>107</v>
      </c>
      <c r="L25" s="1" t="s">
        <v>55</v>
      </c>
    </row>
    <row r="26" spans="2:13" ht="15.45">
      <c r="B26" s="16" t="s">
        <v>36</v>
      </c>
      <c r="E26" s="17">
        <f>((F25/F5)/F26)</f>
        <v>6.779954256679932E-2</v>
      </c>
      <c r="F26" s="40">
        <f>((E8+(F20+F21)/E12)*0.5)*C47/365</f>
        <v>438.05605282274803</v>
      </c>
      <c r="G26" s="40"/>
      <c r="H26" s="15" t="s">
        <v>16</v>
      </c>
      <c r="L26" s="1" t="s">
        <v>20</v>
      </c>
    </row>
    <row r="27" spans="2:13" ht="15.45">
      <c r="B27" s="1"/>
      <c r="C27" s="27" t="s">
        <v>42</v>
      </c>
      <c r="E27" s="39" t="s">
        <v>12</v>
      </c>
      <c r="F27" s="37"/>
      <c r="G27" s="37"/>
      <c r="L27" s="1" t="s">
        <v>67</v>
      </c>
    </row>
    <row r="28" spans="2:13" ht="15.45">
      <c r="B28" s="52" t="s">
        <v>6</v>
      </c>
      <c r="C28" s="78">
        <f>E28/E46</f>
        <v>1.2147718719350526</v>
      </c>
      <c r="D28" s="54"/>
      <c r="E28" s="53">
        <f>F28/E12</f>
        <v>779.78537839871308</v>
      </c>
      <c r="F28" s="55">
        <f>F25+F24</f>
        <v>77198.752461472599</v>
      </c>
      <c r="G28" s="55"/>
      <c r="H28" s="14" t="s">
        <v>72</v>
      </c>
      <c r="L28" s="1" t="s">
        <v>22</v>
      </c>
    </row>
    <row r="29" spans="2:13" ht="15">
      <c r="B29" s="54"/>
      <c r="C29" s="54"/>
      <c r="D29" s="54"/>
      <c r="E29" s="54"/>
      <c r="F29" s="54"/>
      <c r="G29" s="54"/>
      <c r="L29" s="1" t="s">
        <v>56</v>
      </c>
    </row>
    <row r="30" spans="2:13" ht="15.45">
      <c r="B30" s="52" t="s">
        <v>7</v>
      </c>
      <c r="C30" s="56"/>
      <c r="D30" s="56"/>
      <c r="E30" s="55">
        <f>F30/E12</f>
        <v>2032.3106309239654</v>
      </c>
      <c r="F30" s="55">
        <f>F8+F28</f>
        <v>201198.75246147258</v>
      </c>
      <c r="G30" s="55"/>
      <c r="L30" s="10" t="s">
        <v>21</v>
      </c>
    </row>
    <row r="31" spans="2:13" ht="15.45">
      <c r="B31" s="52"/>
      <c r="C31" s="56"/>
      <c r="D31" s="56"/>
      <c r="E31" s="55" t="s">
        <v>103</v>
      </c>
      <c r="F31" s="55"/>
      <c r="G31" s="55"/>
      <c r="L31" s="10"/>
    </row>
    <row r="32" spans="2:13" ht="15.45">
      <c r="B32" s="52" t="s">
        <v>104</v>
      </c>
      <c r="C32" s="54"/>
      <c r="D32" s="54"/>
      <c r="E32" s="8">
        <f>E30/E48*100</f>
        <v>140.94483534954296</v>
      </c>
      <c r="F32" s="54"/>
      <c r="G32" s="54"/>
    </row>
    <row r="33" spans="2:12" ht="15">
      <c r="B33" s="54"/>
      <c r="C33" s="54"/>
      <c r="D33" s="54"/>
      <c r="E33" s="72"/>
      <c r="F33" s="54"/>
      <c r="G33" s="54"/>
    </row>
    <row r="34" spans="2:12" ht="15.45">
      <c r="B34" s="52" t="s">
        <v>30</v>
      </c>
      <c r="C34" s="52"/>
      <c r="D34" s="52"/>
      <c r="E34" s="53">
        <f>F34/E12</f>
        <v>-2.310630923965499</v>
      </c>
      <c r="F34" s="55">
        <f>F14-F30</f>
        <v>-228.7524614725844</v>
      </c>
      <c r="G34" s="55"/>
      <c r="L34" s="15" t="s">
        <v>23</v>
      </c>
    </row>
    <row r="35" spans="2:12" ht="15.45">
      <c r="B35" s="54"/>
      <c r="C35" s="54"/>
      <c r="D35" s="54"/>
      <c r="E35" s="50" t="s">
        <v>10</v>
      </c>
      <c r="F35" s="50"/>
      <c r="G35" s="50"/>
      <c r="H35" s="11"/>
    </row>
    <row r="36" spans="2:12" ht="15.45">
      <c r="B36" s="57" t="s">
        <v>4</v>
      </c>
      <c r="C36" s="54"/>
      <c r="D36" s="54"/>
      <c r="E36" s="58">
        <f>((C7*0.01*F5)*(C14-C8)/E12)</f>
        <v>-121.21212121212122</v>
      </c>
      <c r="F36" s="58"/>
      <c r="G36" s="58"/>
      <c r="H36" s="11"/>
    </row>
    <row r="37" spans="2:12" ht="15.45">
      <c r="B37" s="57" t="s">
        <v>5</v>
      </c>
      <c r="C37" s="54"/>
      <c r="D37" s="54"/>
      <c r="E37" s="53">
        <f>(((C14-C28*100)*F15*0.01)/E12)</f>
        <v>118.90149028815564</v>
      </c>
      <c r="F37" s="54"/>
      <c r="G37" s="54"/>
      <c r="H37" s="11"/>
    </row>
    <row r="38" spans="2:12" ht="15.45">
      <c r="B38" s="57" t="s">
        <v>95</v>
      </c>
      <c r="C38" s="54"/>
      <c r="D38" s="54"/>
      <c r="E38" s="78">
        <f>E36+E37</f>
        <v>-2.3106309239655758</v>
      </c>
      <c r="F38" s="53"/>
      <c r="G38" s="53"/>
      <c r="H38" s="9"/>
    </row>
    <row r="39" spans="2:12" ht="15.45">
      <c r="B39" s="26"/>
      <c r="E39" s="8"/>
      <c r="F39" s="8"/>
      <c r="G39" s="8"/>
    </row>
    <row r="40" spans="2:12" ht="15.45">
      <c r="B40" s="2" t="s">
        <v>68</v>
      </c>
      <c r="C40" s="77">
        <f>(F14-F8)/F15</f>
        <v>1.2111723052714398</v>
      </c>
      <c r="D40" s="8"/>
      <c r="E40" s="13">
        <f>((F14-F8)/E12)</f>
        <v>777.47474747474746</v>
      </c>
      <c r="F40" s="13"/>
      <c r="G40" s="13"/>
      <c r="H40" s="47" t="s">
        <v>33</v>
      </c>
    </row>
    <row r="41" spans="2:12" ht="15.45">
      <c r="B41" s="16" t="s">
        <v>43</v>
      </c>
      <c r="E41" s="65">
        <f>((E$34+E$23+E$25)/$F$26)</f>
        <v>0.11320964839455955</v>
      </c>
    </row>
    <row r="42" spans="2:12" ht="15.45">
      <c r="B42" s="16"/>
      <c r="D42" s="100" t="s">
        <v>112</v>
      </c>
      <c r="E42" s="65"/>
    </row>
    <row r="43" spans="2:12" ht="15.45">
      <c r="B43" s="16" t="s">
        <v>111</v>
      </c>
      <c r="D43" s="99">
        <v>30</v>
      </c>
      <c r="E43" s="65">
        <f>((E$34+E$23+E$25)/($F$26*D43*0.01))</f>
        <v>0.37736549464853181</v>
      </c>
    </row>
    <row r="44" spans="2:12" ht="15.45">
      <c r="B44" s="2" t="s">
        <v>44</v>
      </c>
    </row>
    <row r="45" spans="2:12" ht="15.45">
      <c r="B45" s="2" t="s">
        <v>69</v>
      </c>
      <c r="C45" s="62">
        <f>C5</f>
        <v>44664</v>
      </c>
      <c r="E45" s="9"/>
      <c r="F45" s="9"/>
      <c r="G45" s="9"/>
    </row>
    <row r="46" spans="2:12" ht="15.45">
      <c r="B46" s="2" t="s">
        <v>84</v>
      </c>
      <c r="C46" s="45">
        <v>4</v>
      </c>
      <c r="E46" s="38">
        <f>(F12-F7)/E12</f>
        <v>641.91919191919192</v>
      </c>
      <c r="F46" s="51" t="s">
        <v>37</v>
      </c>
      <c r="G46" s="51"/>
    </row>
    <row r="47" spans="2:12" ht="15.45">
      <c r="B47" s="2" t="s">
        <v>85</v>
      </c>
      <c r="C47" s="21">
        <f>((C12-C7)/C46)</f>
        <v>162.5</v>
      </c>
      <c r="E47" s="48">
        <f>E46/C47</f>
        <v>3.9502719502719503</v>
      </c>
      <c r="F47" s="51" t="s">
        <v>34</v>
      </c>
      <c r="G47" s="51"/>
    </row>
    <row r="48" spans="2:12" ht="15.45">
      <c r="B48" s="2" t="s">
        <v>3</v>
      </c>
      <c r="C48" s="22">
        <f>C45+C47</f>
        <v>44826.5</v>
      </c>
      <c r="E48" s="34">
        <f>E46+C7</f>
        <v>1441.9191919191919</v>
      </c>
      <c r="F48" t="s">
        <v>102</v>
      </c>
    </row>
    <row r="49" spans="2:8" ht="15.45">
      <c r="B49" s="2" t="s">
        <v>44</v>
      </c>
    </row>
    <row r="50" spans="2:8" ht="15.45">
      <c r="B50" s="2"/>
      <c r="C50" s="4" t="s">
        <v>0</v>
      </c>
      <c r="E50" s="4" t="s">
        <v>1</v>
      </c>
      <c r="F50" s="70" t="s">
        <v>1</v>
      </c>
    </row>
    <row r="51" spans="2:8" ht="15.45">
      <c r="B51" s="43" t="s">
        <v>70</v>
      </c>
      <c r="F51" s="2" t="s">
        <v>113</v>
      </c>
    </row>
    <row r="52" spans="2:8" ht="15.45">
      <c r="B52" s="52" t="s">
        <v>39</v>
      </c>
      <c r="C52" s="76">
        <f>((E14-E28)/(C7/(1-C10*0.01))*100)</f>
        <v>154.71405942315928</v>
      </c>
      <c r="D52" s="54"/>
      <c r="E52" s="53">
        <f>(C52*C7*0.01)-E25</f>
        <v>1207.7124753852743</v>
      </c>
      <c r="F52" s="13">
        <f>E25</f>
        <v>30</v>
      </c>
      <c r="H52" s="47" t="s">
        <v>73</v>
      </c>
    </row>
    <row r="53" spans="2:8" ht="15.45">
      <c r="B53" s="2" t="s">
        <v>25</v>
      </c>
      <c r="C53" s="8">
        <f>C8-C52</f>
        <v>0.28594057684071572</v>
      </c>
      <c r="E53" s="8">
        <f>C53*C7*0.01</f>
        <v>2.2875246147257258</v>
      </c>
    </row>
    <row r="54" spans="2:8" ht="15.45">
      <c r="B54" s="2" t="s">
        <v>44</v>
      </c>
    </row>
    <row r="55" spans="2:8">
      <c r="B55" s="18"/>
    </row>
    <row r="88" spans="12:12">
      <c r="L88" s="9"/>
    </row>
    <row r="109" spans="7:13">
      <c r="H109" t="s">
        <v>45</v>
      </c>
      <c r="I109" t="s">
        <v>46</v>
      </c>
      <c r="J109" t="s">
        <v>90</v>
      </c>
      <c r="K109" t="s">
        <v>28</v>
      </c>
    </row>
    <row r="110" spans="7:13">
      <c r="G110" t="s">
        <v>1</v>
      </c>
      <c r="H110" s="12">
        <f>E14</f>
        <v>2030</v>
      </c>
      <c r="I110" s="12">
        <f>F8/E12</f>
        <v>1252.5252525252524</v>
      </c>
      <c r="J110" s="12">
        <f>E28</f>
        <v>779.78537839871308</v>
      </c>
      <c r="K110" s="12">
        <f>H110-I110-J110</f>
        <v>-2.3106309239655047</v>
      </c>
    </row>
    <row r="111" spans="7:13">
      <c r="M111" t="s">
        <v>94</v>
      </c>
    </row>
    <row r="112" spans="7:13">
      <c r="I112" t="s">
        <v>93</v>
      </c>
      <c r="M112" t="s">
        <v>29</v>
      </c>
    </row>
    <row r="113" spans="6:13" ht="15">
      <c r="F113" s="1" t="s">
        <v>92</v>
      </c>
      <c r="G113" s="33"/>
      <c r="H113" s="95">
        <f>M5</f>
        <v>1252.5252525252524</v>
      </c>
      <c r="I113" s="46">
        <f>H113/$M$11</f>
        <v>0.61630600827778326</v>
      </c>
      <c r="M113" s="96">
        <f>H113/$H$116</f>
        <v>0.61630600827778326</v>
      </c>
    </row>
    <row r="114" spans="6:13" ht="15">
      <c r="F114" s="1" t="s">
        <v>47</v>
      </c>
      <c r="G114" s="1"/>
      <c r="H114" s="95">
        <f>M9</f>
        <v>749.78537839871319</v>
      </c>
      <c r="I114" s="46">
        <f>H114/$M$11</f>
        <v>0.36893246878201502</v>
      </c>
      <c r="K114" s="12"/>
      <c r="M114" s="96">
        <f t="shared" ref="M114:M116" si="1">H114/$H$116</f>
        <v>0.36893246878201502</v>
      </c>
    </row>
    <row r="115" spans="6:13" ht="15">
      <c r="F115" s="1" t="s">
        <v>26</v>
      </c>
      <c r="G115" s="1"/>
      <c r="H115" s="95">
        <f>M10</f>
        <v>30</v>
      </c>
      <c r="I115" s="46">
        <f>H115/$M$11</f>
        <v>1.4761522940201745E-2</v>
      </c>
      <c r="M115" s="96">
        <f t="shared" si="1"/>
        <v>1.4761522940201745E-2</v>
      </c>
    </row>
    <row r="116" spans="6:13" ht="15.45">
      <c r="F116" s="2" t="s">
        <v>27</v>
      </c>
      <c r="G116" s="2"/>
      <c r="H116" s="95">
        <f>M11</f>
        <v>2032.3106309239656</v>
      </c>
      <c r="I116" s="46">
        <f>H116/$M$11</f>
        <v>1</v>
      </c>
      <c r="M116" s="96">
        <f t="shared" si="1"/>
        <v>1</v>
      </c>
    </row>
  </sheetData>
  <mergeCells count="4">
    <mergeCell ref="B3:E3"/>
    <mergeCell ref="B1:F1"/>
    <mergeCell ref="C6:E6"/>
    <mergeCell ref="B2:F2"/>
  </mergeCells>
  <phoneticPr fontId="16" type="noConversion"/>
  <pageMargins left="1" right="0.5" top="1" bottom="1" header="0.5" footer="0.5"/>
  <pageSetup scale="78" orientation="portrait" r:id="rId1"/>
  <headerFooter alignWithMargins="0">
    <oddFooter>&amp;L&amp;F&amp;R&amp;A
Page &amp;P of &amp;N</oddFooter>
  </headerFooter>
  <rowBreaks count="1" manualBreakCount="1">
    <brk id="54"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5615-7BEC-49E4-BB71-B745B77C14AE}">
  <sheetPr>
    <pageSetUpPr fitToPage="1"/>
  </sheetPr>
  <dimension ref="B1:B11"/>
  <sheetViews>
    <sheetView topLeftCell="A13" workbookViewId="0">
      <selection activeCell="C11" sqref="C11"/>
    </sheetView>
  </sheetViews>
  <sheetFormatPr defaultRowHeight="12.45"/>
  <cols>
    <col min="2" max="2" width="73.84375" customWidth="1"/>
  </cols>
  <sheetData>
    <row r="1" spans="2:2" ht="15">
      <c r="B1" s="80" t="s">
        <v>83</v>
      </c>
    </row>
    <row r="2" spans="2:2" ht="80.05" customHeight="1">
      <c r="B2" s="81" t="s">
        <v>59</v>
      </c>
    </row>
    <row r="3" spans="2:2" ht="65.05" customHeight="1">
      <c r="B3" s="82" t="s">
        <v>60</v>
      </c>
    </row>
    <row r="4" spans="2:2" ht="15.45">
      <c r="B4" s="82"/>
    </row>
    <row r="5" spans="2:2" ht="85" customHeight="1">
      <c r="B5" s="82" t="s">
        <v>76</v>
      </c>
    </row>
    <row r="6" spans="2:2" ht="15.45">
      <c r="B6" s="82"/>
    </row>
    <row r="7" spans="2:2" ht="110.05" customHeight="1">
      <c r="B7" s="82" t="s">
        <v>61</v>
      </c>
    </row>
    <row r="8" spans="2:2" ht="15.45">
      <c r="B8" s="82"/>
    </row>
    <row r="9" spans="2:2" ht="100" customHeight="1">
      <c r="B9" s="82" t="s">
        <v>62</v>
      </c>
    </row>
    <row r="10" spans="2:2" ht="14.15">
      <c r="B10" s="83"/>
    </row>
    <row r="11" spans="2:2" ht="140.05000000000001" customHeight="1">
      <c r="B11" s="84" t="s">
        <v>63</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BEB-2C2B-460D-A55F-22B0C3153AE8}">
  <sheetPr>
    <pageSetUpPr fitToPage="1"/>
  </sheetPr>
  <dimension ref="B2:B22"/>
  <sheetViews>
    <sheetView topLeftCell="A9" workbookViewId="0">
      <selection activeCell="E4" sqref="E4"/>
    </sheetView>
  </sheetViews>
  <sheetFormatPr defaultRowHeight="12.45"/>
  <cols>
    <col min="1" max="1" width="3.3828125" customWidth="1"/>
    <col min="2" max="2" width="100.765625" customWidth="1"/>
  </cols>
  <sheetData>
    <row r="2" spans="2:2" ht="15">
      <c r="B2" s="91" t="s">
        <v>109</v>
      </c>
    </row>
    <row r="3" spans="2:2" ht="15">
      <c r="B3" s="89"/>
    </row>
    <row r="4" spans="2:2" ht="60" customHeight="1">
      <c r="B4" s="87" t="s">
        <v>77</v>
      </c>
    </row>
    <row r="5" spans="2:2" ht="15.65" customHeight="1">
      <c r="B5" s="87"/>
    </row>
    <row r="6" spans="2:2" ht="60" customHeight="1">
      <c r="B6" s="87" t="s">
        <v>80</v>
      </c>
    </row>
    <row r="8" spans="2:2" ht="15">
      <c r="B8" s="92" t="s">
        <v>82</v>
      </c>
    </row>
    <row r="9" spans="2:2" ht="15">
      <c r="B9" s="85"/>
    </row>
    <row r="10" spans="2:2" ht="50.05" customHeight="1">
      <c r="B10" s="87" t="s">
        <v>74</v>
      </c>
    </row>
    <row r="11" spans="2:2" ht="15.45">
      <c r="B11" s="86"/>
    </row>
    <row r="12" spans="2:2" ht="75" customHeight="1">
      <c r="B12" s="87" t="s">
        <v>108</v>
      </c>
    </row>
    <row r="13" spans="2:2" ht="15.55" customHeight="1">
      <c r="B13" s="87"/>
    </row>
    <row r="14" spans="2:2" ht="60" customHeight="1">
      <c r="B14" s="87" t="s">
        <v>78</v>
      </c>
    </row>
    <row r="15" spans="2:2" ht="15.45">
      <c r="B15" s="88"/>
    </row>
    <row r="16" spans="2:2" ht="60" customHeight="1">
      <c r="B16" s="90" t="s">
        <v>105</v>
      </c>
    </row>
    <row r="17" spans="2:2" ht="15">
      <c r="B17" s="89"/>
    </row>
    <row r="18" spans="2:2" ht="60" customHeight="1">
      <c r="B18" s="87" t="s">
        <v>81</v>
      </c>
    </row>
    <row r="19" spans="2:2" ht="15.45">
      <c r="B19" s="86"/>
    </row>
    <row r="20" spans="2:2" ht="15.55" customHeight="1">
      <c r="B20" s="86" t="s">
        <v>79</v>
      </c>
    </row>
    <row r="21" spans="2:2" ht="15.55" customHeight="1">
      <c r="B21" s="86"/>
    </row>
    <row r="22" spans="2:2" ht="15.45">
      <c r="B22" s="86" t="s">
        <v>75</v>
      </c>
    </row>
  </sheetData>
  <sheetProtection sheet="1" objects="1" scenarios="1"/>
  <pageMargins left="0.95" right="0.45" top="0.75" bottom="0.75" header="0.3" footer="0.3"/>
  <pageSetup scale="91"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1.Value of Gain&amp;MarginAnalysis</vt:lpstr>
      <vt:lpstr>2.Decision Aid  Definitions</vt:lpstr>
      <vt:lpstr>3. Do Your Own Price Breakeven</vt:lpstr>
      <vt:lpstr>'1.Value of Gain&amp;MarginAnalysis'!Print_Area</vt:lpstr>
      <vt:lpstr>'3. Do Your Own Price 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2022-04-13T12:58:23Z</cp:lastPrinted>
  <dcterms:created xsi:type="dcterms:W3CDTF">2004-03-18T15:16:20Z</dcterms:created>
  <dcterms:modified xsi:type="dcterms:W3CDTF">2022-04-13T13:00:29Z</dcterms:modified>
</cp:coreProperties>
</file>