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cgra\Documents\1. Pete Bonds MIS 4-12-2022\1. D 3-4-5  Web Finished Cattle Update 4-13-2022\"/>
    </mc:Choice>
  </mc:AlternateContent>
  <xr:revisionPtr revIDLastSave="0" documentId="13_ncr:1_{193704FF-C6E2-4600-BD9D-5220E5E8CAAC}" xr6:coauthVersionLast="47" xr6:coauthVersionMax="47" xr10:uidLastSave="{00000000-0000-0000-0000-000000000000}"/>
  <bookViews>
    <workbookView xWindow="-103" yWindow="-103" windowWidth="16663" windowHeight="8863" tabRatio="975" xr2:uid="{00000000-000D-0000-FFFF-FFFF00000000}"/>
  </bookViews>
  <sheets>
    <sheet name="1. CattleFinisih&amp;ROI Projection" sheetId="1" r:id="rId1"/>
    <sheet name="2. Cost Sensitivity Analysis" sheetId="7" r:id="rId2"/>
    <sheet name="3.Performance Report" sheetId="4" r:id="rId3"/>
    <sheet name="4. Graphs" sheetId="5" r:id="rId4"/>
  </sheets>
  <definedNames>
    <definedName name="margin_slide">'1. CattleFinisih&amp;ROI Projection'!$B$76</definedName>
    <definedName name="_xlnm.Print_Area" localSheetId="0">'1. CattleFinisih&amp;ROI Projection'!$B$1:$G$132</definedName>
    <definedName name="_xlnm.Print_Area" localSheetId="1">'2. Cost Sensitivity Analysis'!$B$1:$G$63</definedName>
    <definedName name="_xlnm.Print_Area" localSheetId="2">'3.Performance Report'!$B$1:$C$62</definedName>
    <definedName name="_xlnm.Print_Area" localSheetId="3">'4. Graphs'!$B$1:$L$71</definedName>
    <definedName name="sell_keep">'1. CattleFinisih&amp;ROI Projection'!$B$1</definedName>
    <definedName name="sensitivity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6" i="1" l="1"/>
  <c r="J39" i="1"/>
  <c r="J44" i="1"/>
  <c r="J5" i="7" l="1"/>
  <c r="D125" i="1"/>
  <c r="E125" i="1"/>
  <c r="C14" i="7"/>
  <c r="F15" i="4"/>
  <c r="C12" i="4"/>
  <c r="C2" i="4"/>
  <c r="H72" i="1"/>
  <c r="J30" i="7"/>
  <c r="E30" i="7"/>
  <c r="F30" i="7" s="1"/>
  <c r="F66" i="7" s="1"/>
  <c r="D106" i="1"/>
  <c r="J19" i="1" s="1"/>
  <c r="M16" i="1"/>
  <c r="C61" i="4"/>
  <c r="C46" i="4"/>
  <c r="F20" i="1"/>
  <c r="F22" i="1" s="1"/>
  <c r="J17" i="1"/>
  <c r="H40" i="5"/>
  <c r="C3" i="4"/>
  <c r="C4" i="4"/>
  <c r="C5" i="4"/>
  <c r="C6" i="4"/>
  <c r="C7" i="4"/>
  <c r="C8" i="4"/>
  <c r="C9" i="4"/>
  <c r="C10" i="4"/>
  <c r="C11" i="4"/>
  <c r="C13" i="4"/>
  <c r="C52" i="4"/>
  <c r="C54" i="4"/>
  <c r="C58" i="4"/>
  <c r="C3" i="7"/>
  <c r="C4" i="7"/>
  <c r="J4" i="7"/>
  <c r="L30" i="1"/>
  <c r="O30" i="1" s="1"/>
  <c r="F31" i="1"/>
  <c r="H41" i="5" s="1"/>
  <c r="N37" i="1"/>
  <c r="Q37" i="1"/>
  <c r="F45" i="1"/>
  <c r="J37" i="5" s="1"/>
  <c r="F46" i="1"/>
  <c r="F47" i="1"/>
  <c r="F48" i="1"/>
  <c r="D54" i="1"/>
  <c r="F54" i="1" s="1"/>
  <c r="D55" i="1"/>
  <c r="F55" i="1" s="1"/>
  <c r="J79" i="1"/>
  <c r="E81" i="1"/>
  <c r="J103" i="1"/>
  <c r="D104" i="1"/>
  <c r="J38" i="5"/>
  <c r="F56" i="1" l="1"/>
  <c r="E56" i="1" s="1"/>
  <c r="M17" i="1"/>
  <c r="M18" i="1" s="1"/>
  <c r="K103" i="1"/>
  <c r="G40" i="5" s="1"/>
  <c r="L37" i="5"/>
  <c r="L38" i="5"/>
  <c r="Q44" i="1"/>
  <c r="D44" i="1"/>
  <c r="F44" i="1" s="1"/>
  <c r="N66" i="1" s="1"/>
  <c r="C56" i="4"/>
  <c r="J39" i="5"/>
  <c r="L39" i="5" s="1"/>
  <c r="I112" i="1"/>
  <c r="I111" i="1"/>
  <c r="E3" i="7"/>
  <c r="F24" i="1"/>
  <c r="L32" i="1"/>
  <c r="O31" i="1" s="1"/>
  <c r="I22" i="1"/>
  <c r="F19" i="1"/>
  <c r="E104" i="1" s="1"/>
  <c r="D14" i="7"/>
  <c r="C15" i="7"/>
  <c r="C11" i="7" s="1"/>
  <c r="M30" i="7"/>
  <c r="D30" i="7"/>
  <c r="E66" i="7"/>
  <c r="G30" i="7"/>
  <c r="G66" i="7" s="1"/>
  <c r="J40" i="1"/>
  <c r="I113" i="1" l="1"/>
  <c r="D114" i="1" s="1"/>
  <c r="D127" i="1" s="1"/>
  <c r="F13" i="1" s="1"/>
  <c r="B36" i="7" s="1"/>
  <c r="G40" i="7" s="1"/>
  <c r="F14" i="1"/>
  <c r="M19" i="1"/>
  <c r="M42" i="7"/>
  <c r="N42" i="7" s="1"/>
  <c r="O42" i="7" s="1"/>
  <c r="H87" i="1"/>
  <c r="H71" i="1"/>
  <c r="H73" i="1" s="1"/>
  <c r="J52" i="7" s="1"/>
  <c r="I25" i="1"/>
  <c r="F43" i="1" s="1"/>
  <c r="E106" i="1"/>
  <c r="D4" i="7"/>
  <c r="J27" i="1"/>
  <c r="L24" i="1"/>
  <c r="C53" i="4"/>
  <c r="C62" i="4" s="1"/>
  <c r="F25" i="1"/>
  <c r="M12" i="1"/>
  <c r="J104" i="1"/>
  <c r="J12" i="1"/>
  <c r="K12" i="1" s="1"/>
  <c r="C14" i="4"/>
  <c r="D3" i="7"/>
  <c r="J23" i="1"/>
  <c r="J22" i="1"/>
  <c r="O32" i="1"/>
  <c r="F28" i="1"/>
  <c r="E14" i="7"/>
  <c r="D15" i="7"/>
  <c r="C30" i="7"/>
  <c r="C66" i="7" s="1"/>
  <c r="D66" i="7"/>
  <c r="I37" i="1"/>
  <c r="J37" i="1" s="1"/>
  <c r="J41" i="1"/>
  <c r="C10" i="7"/>
  <c r="J42" i="1"/>
  <c r="E43" i="1"/>
  <c r="C17" i="7" s="1"/>
  <c r="C19" i="4"/>
  <c r="L30" i="7"/>
  <c r="M31" i="7"/>
  <c r="N30" i="7"/>
  <c r="B35" i="7" l="1"/>
  <c r="J58" i="7" s="1"/>
  <c r="C65" i="7"/>
  <c r="F15" i="1"/>
  <c r="D37" i="1" s="1"/>
  <c r="J59" i="7"/>
  <c r="M40" i="7"/>
  <c r="M41" i="7" s="1"/>
  <c r="M43" i="7" s="1"/>
  <c r="B37" i="7"/>
  <c r="B38" i="7" s="1"/>
  <c r="J61" i="7" s="1"/>
  <c r="L42" i="7"/>
  <c r="K42" i="7" s="1"/>
  <c r="F16" i="1"/>
  <c r="Q53" i="1" s="1"/>
  <c r="L27" i="1"/>
  <c r="L43" i="1" s="1"/>
  <c r="E4" i="7"/>
  <c r="F4" i="7" s="1"/>
  <c r="D41" i="1"/>
  <c r="C55" i="4"/>
  <c r="C25" i="4"/>
  <c r="N12" i="1"/>
  <c r="J121" i="1"/>
  <c r="J122" i="1"/>
  <c r="J105" i="1"/>
  <c r="K105" i="1" s="1"/>
  <c r="G42" i="5" s="1"/>
  <c r="K104" i="1"/>
  <c r="G41" i="5" s="1"/>
  <c r="J25" i="1"/>
  <c r="J26" i="1"/>
  <c r="D43" i="1" s="1"/>
  <c r="O64" i="1"/>
  <c r="O66" i="1" s="1"/>
  <c r="N31" i="7"/>
  <c r="O30" i="7"/>
  <c r="O31" i="7" s="1"/>
  <c r="D11" i="7"/>
  <c r="E11" i="7" s="1"/>
  <c r="E15" i="7"/>
  <c r="K30" i="7"/>
  <c r="K31" i="7" s="1"/>
  <c r="L31" i="7"/>
  <c r="D10" i="7"/>
  <c r="C12" i="7"/>
  <c r="J7" i="7"/>
  <c r="Q45" i="1"/>
  <c r="J36" i="5"/>
  <c r="N64" i="1"/>
  <c r="N65" i="1"/>
  <c r="N40" i="1"/>
  <c r="O40" i="7" l="1"/>
  <c r="O41" i="7" s="1"/>
  <c r="O43" i="7" s="1"/>
  <c r="L40" i="7"/>
  <c r="L41" i="7" s="1"/>
  <c r="L43" i="7" s="1"/>
  <c r="B34" i="7"/>
  <c r="J60" i="7"/>
  <c r="F17" i="1"/>
  <c r="F37" i="1" s="1"/>
  <c r="J35" i="5" s="1"/>
  <c r="L35" i="5" s="1"/>
  <c r="N40" i="7"/>
  <c r="N41" i="7" s="1"/>
  <c r="N43" i="7" s="1"/>
  <c r="E37" i="1"/>
  <c r="N48" i="1"/>
  <c r="N49" i="1" s="1"/>
  <c r="N51" i="1" s="1"/>
  <c r="D93" i="1"/>
  <c r="C16" i="4"/>
  <c r="L32" i="7"/>
  <c r="O32" i="7"/>
  <c r="M32" i="7"/>
  <c r="Q55" i="1"/>
  <c r="K32" i="7"/>
  <c r="N32" i="7"/>
  <c r="E25" i="1"/>
  <c r="C57" i="4"/>
  <c r="J123" i="1"/>
  <c r="E114" i="1" s="1"/>
  <c r="E127" i="1" s="1"/>
  <c r="F26" i="1" s="1"/>
  <c r="Q40" i="1"/>
  <c r="N41" i="1"/>
  <c r="N42" i="1" s="1"/>
  <c r="M40" i="1"/>
  <c r="L36" i="5"/>
  <c r="K7" i="7"/>
  <c r="L7" i="7" s="1"/>
  <c r="I22" i="7" s="1"/>
  <c r="D12" i="7"/>
  <c r="E10" i="7"/>
  <c r="D17" i="7"/>
  <c r="E17" i="7" s="1"/>
  <c r="F17" i="7" s="1"/>
  <c r="O65" i="1"/>
  <c r="N67" i="1"/>
  <c r="O71" i="1" s="1"/>
  <c r="C23" i="4" s="1"/>
  <c r="C20" i="4"/>
  <c r="F49" i="1" l="1"/>
  <c r="F51" i="1" s="1"/>
  <c r="K36" i="7" s="1"/>
  <c r="K40" i="7"/>
  <c r="K41" i="7" s="1"/>
  <c r="K43" i="7" s="1"/>
  <c r="J57" i="7"/>
  <c r="M48" i="1"/>
  <c r="L48" i="1" s="1"/>
  <c r="Q48" i="1"/>
  <c r="Q49" i="1" s="1"/>
  <c r="N59" i="1"/>
  <c r="F27" i="1"/>
  <c r="F30" i="1" s="1"/>
  <c r="K48" i="7" s="1"/>
  <c r="M48" i="7" s="1"/>
  <c r="I23" i="7"/>
  <c r="K27" i="7" s="1"/>
  <c r="N57" i="1"/>
  <c r="N44" i="1"/>
  <c r="I26" i="7"/>
  <c r="L40" i="1"/>
  <c r="F58" i="1" l="1"/>
  <c r="J87" i="1" s="1"/>
  <c r="E49" i="1"/>
  <c r="M57" i="1"/>
  <c r="M60" i="1"/>
  <c r="L60" i="1" s="1"/>
  <c r="J83" i="1"/>
  <c r="D58" i="1"/>
  <c r="L56" i="1"/>
  <c r="N60" i="1"/>
  <c r="D89" i="1"/>
  <c r="C22" i="4" s="1"/>
  <c r="E58" i="1"/>
  <c r="N48" i="7"/>
  <c r="O48" i="7" s="1"/>
  <c r="L48" i="7"/>
  <c r="F79" i="1"/>
  <c r="F81" i="1" s="1"/>
  <c r="C48" i="4" s="1"/>
  <c r="F32" i="1"/>
  <c r="O44" i="7"/>
  <c r="O45" i="7" s="1"/>
  <c r="M44" i="7"/>
  <c r="L44" i="7"/>
  <c r="L45" i="7" s="1"/>
  <c r="M47" i="7"/>
  <c r="N44" i="7"/>
  <c r="N45" i="7" s="1"/>
  <c r="K44" i="7"/>
  <c r="K45" i="7" s="1"/>
  <c r="M33" i="7"/>
  <c r="M34" i="7" s="1"/>
  <c r="K33" i="7"/>
  <c r="K34" i="7" s="1"/>
  <c r="N33" i="7"/>
  <c r="N34" i="7" s="1"/>
  <c r="L33" i="7"/>
  <c r="L34" i="7" s="1"/>
  <c r="O33" i="7"/>
  <c r="O34" i="7" s="1"/>
  <c r="N53" i="1"/>
  <c r="I28" i="7" s="1"/>
  <c r="N45" i="1"/>
  <c r="I27" i="7"/>
  <c r="K37" i="7"/>
  <c r="O36" i="7"/>
  <c r="O37" i="7" s="1"/>
  <c r="L36" i="7"/>
  <c r="L37" i="7" s="1"/>
  <c r="M36" i="7"/>
  <c r="M37" i="7" s="1"/>
  <c r="N36" i="7"/>
  <c r="N37" i="7" s="1"/>
  <c r="F61" i="1" l="1"/>
  <c r="I61" i="1" s="1"/>
  <c r="J61" i="1" s="1"/>
  <c r="C47" i="4"/>
  <c r="F34" i="1"/>
  <c r="E34" i="1" s="1"/>
  <c r="F33" i="1"/>
  <c r="N55" i="1"/>
  <c r="F62" i="1" s="1"/>
  <c r="J10" i="7" s="1"/>
  <c r="I29" i="7"/>
  <c r="K10" i="7" s="1"/>
  <c r="L38" i="7"/>
  <c r="P54" i="7"/>
  <c r="M45" i="7"/>
  <c r="N38" i="7"/>
  <c r="K38" i="7"/>
  <c r="N47" i="7"/>
  <c r="L47" i="7"/>
  <c r="M49" i="7"/>
  <c r="O38" i="7"/>
  <c r="M38" i="7"/>
  <c r="R54" i="7" l="1"/>
  <c r="S54" i="7" s="1"/>
  <c r="E62" i="1"/>
  <c r="E85" i="1"/>
  <c r="D85" i="1" s="1"/>
  <c r="C19" i="7" s="1"/>
  <c r="L10" i="7"/>
  <c r="F64" i="1"/>
  <c r="G62" i="1" s="1"/>
  <c r="J40" i="5"/>
  <c r="L40" i="5" s="1"/>
  <c r="L41" i="5" s="1"/>
  <c r="J106" i="1"/>
  <c r="J99" i="1" s="1"/>
  <c r="D98" i="1" s="1"/>
  <c r="D87" i="1"/>
  <c r="D92" i="1"/>
  <c r="D94" i="1" s="1"/>
  <c r="C18" i="4" s="1"/>
  <c r="J98" i="1"/>
  <c r="D97" i="1" s="1"/>
  <c r="C32" i="4"/>
  <c r="C17" i="4"/>
  <c r="F66" i="1"/>
  <c r="J82" i="1" s="1"/>
  <c r="M51" i="7"/>
  <c r="M53" i="7" s="1"/>
  <c r="K47" i="7"/>
  <c r="K49" i="7" s="1"/>
  <c r="K51" i="7" s="1"/>
  <c r="K53" i="7" s="1"/>
  <c r="L49" i="7"/>
  <c r="M56" i="7"/>
  <c r="N49" i="7"/>
  <c r="N51" i="7" s="1"/>
  <c r="N53" i="7" s="1"/>
  <c r="O47" i="7"/>
  <c r="O49" i="7" s="1"/>
  <c r="O51" i="7" s="1"/>
  <c r="O53" i="7" s="1"/>
  <c r="J80" i="1" l="1"/>
  <c r="J77" i="1"/>
  <c r="J78" i="1" s="1"/>
  <c r="F68" i="1" s="1"/>
  <c r="C33" i="4" s="1"/>
  <c r="L44" i="5"/>
  <c r="J47" i="1"/>
  <c r="J19" i="7"/>
  <c r="G58" i="1"/>
  <c r="D90" i="1"/>
  <c r="G37" i="1"/>
  <c r="G64" i="1"/>
  <c r="G49" i="1"/>
  <c r="G46" i="1"/>
  <c r="G56" i="1"/>
  <c r="F75" i="1"/>
  <c r="C43" i="4" s="1"/>
  <c r="C44" i="4" s="1"/>
  <c r="F85" i="1"/>
  <c r="G48" i="1"/>
  <c r="F71" i="1"/>
  <c r="C36" i="4" s="1"/>
  <c r="G43" i="1"/>
  <c r="M52" i="7"/>
  <c r="G45" i="1"/>
  <c r="G44" i="1"/>
  <c r="J41" i="5"/>
  <c r="K40" i="5" s="1"/>
  <c r="L44" i="1"/>
  <c r="C21" i="4" s="1"/>
  <c r="C26" i="4"/>
  <c r="C24" i="4" s="1"/>
  <c r="G51" i="1"/>
  <c r="J16" i="7"/>
  <c r="J17" i="7" s="1"/>
  <c r="C21" i="7" s="1"/>
  <c r="E64" i="1"/>
  <c r="G47" i="1"/>
  <c r="D64" i="1"/>
  <c r="C30" i="4" s="1"/>
  <c r="J88" i="1"/>
  <c r="J100" i="1"/>
  <c r="G66" i="1"/>
  <c r="D99" i="1"/>
  <c r="C41" i="4" s="1"/>
  <c r="C28" i="4"/>
  <c r="E87" i="1"/>
  <c r="J14" i="7"/>
  <c r="K14" i="7" s="1"/>
  <c r="L14" i="7" s="1"/>
  <c r="E66" i="1"/>
  <c r="D66" i="1"/>
  <c r="F34" i="5"/>
  <c r="C39" i="4"/>
  <c r="L51" i="7"/>
  <c r="L53" i="7" s="1"/>
  <c r="L56" i="7"/>
  <c r="M59" i="7"/>
  <c r="E36" i="7" s="1"/>
  <c r="E67" i="7" s="1"/>
  <c r="M60" i="7"/>
  <c r="E37" i="7" s="1"/>
  <c r="M61" i="7"/>
  <c r="E38" i="7" s="1"/>
  <c r="M57" i="7"/>
  <c r="E34" i="7" s="1"/>
  <c r="M58" i="7"/>
  <c r="E35" i="7" s="1"/>
  <c r="N56" i="7"/>
  <c r="K56" i="7"/>
  <c r="F35" i="5"/>
  <c r="C40" i="4"/>
  <c r="O56" i="7"/>
  <c r="F69" i="1" l="1"/>
  <c r="C34" i="4" s="1"/>
  <c r="F73" i="1"/>
  <c r="C37" i="4" s="1"/>
  <c r="H14" i="1"/>
  <c r="K38" i="5"/>
  <c r="F36" i="5"/>
  <c r="H13" i="1"/>
  <c r="K39" i="5"/>
  <c r="H125" i="1"/>
  <c r="K37" i="5"/>
  <c r="K16" i="7"/>
  <c r="D23" i="7" s="1"/>
  <c r="K36" i="5"/>
  <c r="K35" i="5"/>
  <c r="C23" i="7"/>
  <c r="L85" i="1"/>
  <c r="L58" i="7"/>
  <c r="D35" i="7" s="1"/>
  <c r="L61" i="7"/>
  <c r="D38" i="7" s="1"/>
  <c r="L59" i="7"/>
  <c r="D36" i="7" s="1"/>
  <c r="D67" i="7" s="1"/>
  <c r="L57" i="7"/>
  <c r="D34" i="7" s="1"/>
  <c r="L60" i="7"/>
  <c r="D37" i="7" s="1"/>
  <c r="O57" i="7"/>
  <c r="G34" i="7" s="1"/>
  <c r="O58" i="7"/>
  <c r="G35" i="7" s="1"/>
  <c r="O60" i="7"/>
  <c r="G37" i="7" s="1"/>
  <c r="O59" i="7"/>
  <c r="G36" i="7" s="1"/>
  <c r="G67" i="7" s="1"/>
  <c r="O61" i="7"/>
  <c r="G38" i="7" s="1"/>
  <c r="K61" i="7"/>
  <c r="C38" i="7" s="1"/>
  <c r="K58" i="7"/>
  <c r="C35" i="7" s="1"/>
  <c r="K59" i="7"/>
  <c r="C36" i="7" s="1"/>
  <c r="C67" i="7" s="1"/>
  <c r="K57" i="7"/>
  <c r="C34" i="7" s="1"/>
  <c r="K60" i="7"/>
  <c r="C37" i="7" s="1"/>
  <c r="N60" i="7"/>
  <c r="F37" i="7" s="1"/>
  <c r="N59" i="7"/>
  <c r="F36" i="7" s="1"/>
  <c r="F67" i="7" s="1"/>
  <c r="N58" i="7"/>
  <c r="F35" i="7" s="1"/>
  <c r="N61" i="7"/>
  <c r="F38" i="7" s="1"/>
  <c r="N57" i="7"/>
  <c r="F34" i="7" s="1"/>
  <c r="L16" i="7" l="1"/>
  <c r="K17" i="7"/>
  <c r="D21" i="7" s="1"/>
  <c r="E21" i="7" s="1"/>
  <c r="F21" i="7" s="1"/>
  <c r="K19" i="7"/>
  <c r="D19" i="7" s="1"/>
  <c r="E19" i="7" s="1"/>
  <c r="F19" i="7" s="1"/>
  <c r="E23" i="7"/>
  <c r="F23" i="7" s="1"/>
  <c r="L19" i="7" l="1"/>
  <c r="L1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McGrann</author>
  </authors>
  <commentList>
    <comment ref="L8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 If ROA/ROE is positive and greater than 1 then debt cost is less than return and use is favorable.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8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 Divided by cattle marketed to  adjust for death loss.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<sst xmlns="http://schemas.openxmlformats.org/spreadsheetml/2006/main" count="492" uniqueCount="369">
  <si>
    <t>Date of Analysis</t>
  </si>
  <si>
    <t>Head</t>
  </si>
  <si>
    <t>Lb.</t>
  </si>
  <si>
    <t>%</t>
  </si>
  <si>
    <t>$/Cwt.</t>
  </si>
  <si>
    <t>% - $/Head</t>
  </si>
  <si>
    <t>$/Head</t>
  </si>
  <si>
    <t>Lb./Day</t>
  </si>
  <si>
    <t>Lb./Head</t>
  </si>
  <si>
    <t xml:space="preserve">                    Net Gain (Deads In)</t>
  </si>
  <si>
    <t>Total Sales Value (Based on Head Marketed)</t>
  </si>
  <si>
    <t>Total</t>
  </si>
  <si>
    <t>$/Hd.</t>
  </si>
  <si>
    <t>Lb. Of Gain</t>
  </si>
  <si>
    <t>Marketing Margin</t>
  </si>
  <si>
    <t>Feeding Margin</t>
  </si>
  <si>
    <t>Net Margin</t>
  </si>
  <si>
    <t xml:space="preserve">          Weight</t>
  </si>
  <si>
    <t>Dates</t>
  </si>
  <si>
    <t>Actual Weight Used In Slide Calculation</t>
  </si>
  <si>
    <t xml:space="preserve"> </t>
  </si>
  <si>
    <t>Cattle Price Slide Calculator-------------------</t>
  </si>
  <si>
    <t xml:space="preserve">  Tolerance Above Base Weight</t>
  </si>
  <si>
    <t xml:space="preserve">  Tolerance Below Base Weight</t>
  </si>
  <si>
    <t xml:space="preserve">  Price Slide </t>
  </si>
  <si>
    <t>Calculation of Discounts or Premium</t>
  </si>
  <si>
    <t>Price Slide Discount (-) or Premium (+)</t>
  </si>
  <si>
    <t>Heavy</t>
  </si>
  <si>
    <t>Light</t>
  </si>
  <si>
    <t>Slide Discount 0r Premium</t>
  </si>
  <si>
    <t xml:space="preserve">  Muscling </t>
  </si>
  <si>
    <t xml:space="preserve">  Frame</t>
  </si>
  <si>
    <t xml:space="preserve">  Fill</t>
  </si>
  <si>
    <t>Units/Hd</t>
  </si>
  <si>
    <t>Gain / Hd.</t>
  </si>
  <si>
    <t>Equity Investment</t>
  </si>
  <si>
    <t>Return on Equity %</t>
  </si>
  <si>
    <t>Percent Equity</t>
  </si>
  <si>
    <t xml:space="preserve">                      Marketing Margin</t>
  </si>
  <si>
    <t>ROE/ROA =</t>
  </si>
  <si>
    <t>Financial Performance</t>
  </si>
  <si>
    <t>Price Slide &amp; Other Premium or Discount Calculator</t>
  </si>
  <si>
    <t>$</t>
  </si>
  <si>
    <t>Economic*</t>
  </si>
  <si>
    <t>Total Interest</t>
  </si>
  <si>
    <t>% Borrowed</t>
  </si>
  <si>
    <t>Quality Discounts (-), Premiums (+)</t>
  </si>
  <si>
    <t>Total Quality Discounts (-), Premiums (+)</t>
  </si>
  <si>
    <t xml:space="preserve">  Base Weight for Calculating Slide</t>
  </si>
  <si>
    <t xml:space="preserve">  Base Price Before Adjusting for Weight Slide</t>
  </si>
  <si>
    <t xml:space="preserve">    $/ Day </t>
  </si>
  <si>
    <t>$/Ton</t>
  </si>
  <si>
    <t>Lb./Lb Gain of Net Gain</t>
  </si>
  <si>
    <t xml:space="preserve">                      Feeding Margin</t>
  </si>
  <si>
    <t>% - Head</t>
  </si>
  <si>
    <t xml:space="preserve">Annualized Return on Equity - ROE   </t>
  </si>
  <si>
    <t>Feed Conversion Ratio - As fed &amp; Dry Matter</t>
  </si>
  <si>
    <t>Rate of Rtn.</t>
  </si>
  <si>
    <t>Total Cattle</t>
  </si>
  <si>
    <t>Total Non feed</t>
  </si>
  <si>
    <t>Borrowed</t>
  </si>
  <si>
    <t>Equity</t>
  </si>
  <si>
    <t>Maximum Feeder Price</t>
  </si>
  <si>
    <t>Net Income</t>
  </si>
  <si>
    <t>Total Cattle Interest</t>
  </si>
  <si>
    <t>Total Equity</t>
  </si>
  <si>
    <t>Total Capital</t>
  </si>
  <si>
    <t>Economic Interest Cost - Rate of Return</t>
  </si>
  <si>
    <t>Feed &amp; Yardage</t>
  </si>
  <si>
    <t xml:space="preserve">  Tons of Feed Fed - DM</t>
  </si>
  <si>
    <t xml:space="preserve">   Feed Cost</t>
  </si>
  <si>
    <t xml:space="preserve">   Yardage</t>
  </si>
  <si>
    <t>Total Cost Feed &amp; Yardage</t>
  </si>
  <si>
    <t>Cost of Feed per Ton - As Fed and Dry Matter</t>
  </si>
  <si>
    <t>Feedyard</t>
  </si>
  <si>
    <t>Origin</t>
  </si>
  <si>
    <t>Number of Head</t>
  </si>
  <si>
    <t>Sex</t>
  </si>
  <si>
    <t>Feeder Frame</t>
  </si>
  <si>
    <t>Feeder Muscling</t>
  </si>
  <si>
    <t>In Date</t>
  </si>
  <si>
    <t>Feeder Cost or Value In $/Cwt.</t>
  </si>
  <si>
    <t>Net Payweight Sales Price $/Cwt.</t>
  </si>
  <si>
    <t>Feed &amp; Yardage Cost of Gain</t>
  </si>
  <si>
    <t>Feed &amp; Yardage % of Total Gain Cost</t>
  </si>
  <si>
    <t>Total Cost of Gain  $/Cwt.</t>
  </si>
  <si>
    <t>Marketing Margin - $/Head</t>
  </si>
  <si>
    <t>Feeding Margin - $/Head</t>
  </si>
  <si>
    <t>Net Margin or Income - $/Head</t>
  </si>
  <si>
    <t>Return on Investment ROI</t>
  </si>
  <si>
    <t>Out Weight</t>
  </si>
  <si>
    <t>Death + Culling Loss %</t>
  </si>
  <si>
    <t>Days on Feed - On Head Out</t>
  </si>
  <si>
    <t>Average Daily Gain</t>
  </si>
  <si>
    <t>Dry Matter Conversion</t>
  </si>
  <si>
    <t xml:space="preserve">Starting Date </t>
  </si>
  <si>
    <t>No. of Cattle Started</t>
  </si>
  <si>
    <t>Description</t>
  </si>
  <si>
    <t>Net Payweight In</t>
  </si>
  <si>
    <t>Transportation to Feedyard</t>
  </si>
  <si>
    <t>Net Payweight Cost Per Head</t>
  </si>
  <si>
    <t>Net Payweight Cost Per Cwt.</t>
  </si>
  <si>
    <t>`</t>
  </si>
  <si>
    <t>Date Marketed</t>
  </si>
  <si>
    <t xml:space="preserve">Weight Before Shrink  </t>
  </si>
  <si>
    <t xml:space="preserve">Shrink When Sold </t>
  </si>
  <si>
    <t>Net Payweight</t>
  </si>
  <si>
    <t>Marketing Costs - Commissions</t>
  </si>
  <si>
    <t>Other Marketing Costs - Per Head Charges</t>
  </si>
  <si>
    <t>$/Mile - Miles</t>
  </si>
  <si>
    <t>Freight Calculation Cattle Out</t>
  </si>
  <si>
    <t>Cost per loaded mile</t>
  </si>
  <si>
    <t>Pounds load</t>
  </si>
  <si>
    <t>Total Per Load</t>
  </si>
  <si>
    <t>Total Per Head</t>
  </si>
  <si>
    <t>Number of Head  On Load</t>
  </si>
  <si>
    <t>Percent Death Loss &amp; Marketing (Net of Death Loss)</t>
  </si>
  <si>
    <t>Net Payweight Sales Revenue Per Head</t>
  </si>
  <si>
    <t>Net Payweight Sales Revenue Per Cwt.</t>
  </si>
  <si>
    <t>Total Marketing Cost</t>
  </si>
  <si>
    <t>Yardage Cost Per Day</t>
  </si>
  <si>
    <t>Futures/Options (+/-)</t>
  </si>
  <si>
    <t>Average Daily Gain  - Before Shrink</t>
  </si>
  <si>
    <t xml:space="preserve"> Wt./Head Out</t>
  </si>
  <si>
    <t>Gain / Hd. In</t>
  </si>
  <si>
    <t>DM Lb. Gain</t>
  </si>
  <si>
    <t xml:space="preserve">General and Administrative </t>
  </si>
  <si>
    <t xml:space="preserve">Management Cost </t>
  </si>
  <si>
    <t>Direct Cost</t>
  </si>
  <si>
    <t>Total Cost of Feeder Cattle In</t>
  </si>
  <si>
    <t>$/Cwt.  In</t>
  </si>
  <si>
    <t xml:space="preserve">Total Production Costs </t>
  </si>
  <si>
    <t>Financing Cost</t>
  </si>
  <si>
    <t>$/Head Out</t>
  </si>
  <si>
    <t>Non Feed Interest</t>
  </si>
  <si>
    <t>Cost</t>
  </si>
  <si>
    <t>DM Fed</t>
  </si>
  <si>
    <t xml:space="preserve">  Heifer Sex Discount  (-)</t>
  </si>
  <si>
    <t xml:space="preserve">Annualized Return on Investment - ROI  </t>
  </si>
  <si>
    <t>Feeding Cost as Percent of Net Payweight Gain**</t>
  </si>
  <si>
    <t>Return to Equity = Net Income</t>
  </si>
  <si>
    <t>Net Sales Price</t>
  </si>
  <si>
    <t>Interest Rate</t>
  </si>
  <si>
    <t>Return to Assets = Net</t>
  </si>
  <si>
    <t>Feed and Yardage Cost of Net Payweight Gain**</t>
  </si>
  <si>
    <t xml:space="preserve">      Out Wt.</t>
  </si>
  <si>
    <t>Gross Out Weight Before Shrink  and Days Fed</t>
  </si>
  <si>
    <t>Lb./Hd &amp; Days</t>
  </si>
  <si>
    <t>______________________________________________________________________________________________________________________</t>
  </si>
  <si>
    <t>___________________________________________________________________________________________</t>
  </si>
  <si>
    <t>Annualized</t>
  </si>
  <si>
    <t>Total Investment</t>
  </si>
  <si>
    <t>Summary Margin Analysis</t>
  </si>
  <si>
    <t>Total Purchase  In</t>
  </si>
  <si>
    <t>Total Sales Based on Head Outs - Finished Cattle</t>
  </si>
  <si>
    <t>Total Gain Based on Head Outs</t>
  </si>
  <si>
    <t>Cost Summary</t>
  </si>
  <si>
    <t>Feeder Cattle</t>
  </si>
  <si>
    <t>G&amp;A</t>
  </si>
  <si>
    <t>Total Unit Cost</t>
  </si>
  <si>
    <t>$/Hd/ Out</t>
  </si>
  <si>
    <t>Wt./Head `</t>
  </si>
  <si>
    <t>Interest</t>
  </si>
  <si>
    <t>Other</t>
  </si>
  <si>
    <t xml:space="preserve">% of Costs </t>
  </si>
  <si>
    <t>Tons</t>
  </si>
  <si>
    <t xml:space="preserve">   Percent Borrowed and Cost of Capital</t>
  </si>
  <si>
    <t>Projected Finance Cost</t>
  </si>
  <si>
    <t>Total Annualized</t>
  </si>
  <si>
    <t>Investment</t>
  </si>
  <si>
    <t>Financial Rate</t>
  </si>
  <si>
    <t>Cash Flow Required</t>
  </si>
  <si>
    <t>Total Cost Per Ton of Feed &amp; Yardage</t>
  </si>
  <si>
    <t xml:space="preserve">     Amount</t>
  </si>
  <si>
    <t>Total Cash Borrowed</t>
  </si>
  <si>
    <t xml:space="preserve">   Annualized</t>
  </si>
  <si>
    <t>Financial Interest Cost Adj for % Borrowed</t>
  </si>
  <si>
    <t>__________________________________________________________________________________________</t>
  </si>
  <si>
    <t xml:space="preserve">Investment </t>
  </si>
  <si>
    <t xml:space="preserve">   Per Head</t>
  </si>
  <si>
    <t>Total Unit Costs (TUC)</t>
  </si>
  <si>
    <t>Total Direct Cost**</t>
  </si>
  <si>
    <t xml:space="preserve">    but does not include interest, G &amp; A or management included in total unit cost (TUC).</t>
  </si>
  <si>
    <t xml:space="preserve">*This is the traditional reported cost of feedyard including feed, yardage, processing, health and other direct feedyard expensed </t>
  </si>
  <si>
    <t>**Due to rounding error there will be a slight error in the value calculated.</t>
  </si>
  <si>
    <t>***Economic costs include an opportunity cost for capital invested in total production costs.</t>
  </si>
  <si>
    <t xml:space="preserve">Net Payweight Cost </t>
  </si>
  <si>
    <t>Margins</t>
  </si>
  <si>
    <t xml:space="preserve">       Yield %</t>
  </si>
  <si>
    <t xml:space="preserve">      Yield %</t>
  </si>
  <si>
    <t xml:space="preserve">                      Net Margin (or Net Income)</t>
  </si>
  <si>
    <t>Gross Gain &amp; ADG</t>
  </si>
  <si>
    <t>Gain / Hd. Out</t>
  </si>
  <si>
    <t>Freight to Packer</t>
  </si>
  <si>
    <t>Economic Cost - With Opportunity Cost on Investment***</t>
  </si>
  <si>
    <t>Opportunity Cost Interest Rate or Target Rate of Return</t>
  </si>
  <si>
    <t>Financial Cost</t>
  </si>
  <si>
    <t>Leverage Index</t>
  </si>
  <si>
    <t>Price Roll Back</t>
  </si>
  <si>
    <t>Total Cost of Feeder Cattle - Head In</t>
  </si>
  <si>
    <t>$/Hd. In</t>
  </si>
  <si>
    <t>$/Unit</t>
  </si>
  <si>
    <t>Total Sales</t>
  </si>
  <si>
    <t>$/Cwt. Out</t>
  </si>
  <si>
    <t>Value of Gain $/Cwt.</t>
  </si>
  <si>
    <t>Net Sales</t>
  </si>
  <si>
    <t>Percent of Breed</t>
  </si>
  <si>
    <t>Calculated Economic Measures</t>
  </si>
  <si>
    <t>Feeder Price to Finish Roll Back $/Cwt.</t>
  </si>
  <si>
    <t>Production Measures Calculated</t>
  </si>
  <si>
    <t>Feeder In Payweight - Lb./Head</t>
  </si>
  <si>
    <t>Net Payweight Gain On Head Out</t>
  </si>
  <si>
    <t>Breed</t>
  </si>
  <si>
    <t>Projected Cattle Performance Data and Calculated Values</t>
  </si>
  <si>
    <t xml:space="preserve">Net Weight/Day </t>
  </si>
  <si>
    <t>Days on Feed</t>
  </si>
  <si>
    <t>Sales Date</t>
  </si>
  <si>
    <t>Price That Can Be Paid for Feeder Cover TUC</t>
  </si>
  <si>
    <t>$/Ton DM</t>
  </si>
  <si>
    <t>Corn DM</t>
  </si>
  <si>
    <t xml:space="preserve"> Corn Price $/Cwt.</t>
  </si>
  <si>
    <t>Base Value</t>
  </si>
  <si>
    <t>With Change</t>
  </si>
  <si>
    <t>Feed Cost of Gain</t>
  </si>
  <si>
    <t>Return On Investment</t>
  </si>
  <si>
    <t>Base</t>
  </si>
  <si>
    <t>Feed Cost</t>
  </si>
  <si>
    <t>Finance Cost</t>
  </si>
  <si>
    <t>Non Cattle</t>
  </si>
  <si>
    <t>Total Unit Cost - Cwt.</t>
  </si>
  <si>
    <t>Total Unit Cost of Gain- Cwt.</t>
  </si>
  <si>
    <t xml:space="preserve">   Change</t>
  </si>
  <si>
    <t>Sensitive Analysis of Feed Cost</t>
  </si>
  <si>
    <t>Net Gain</t>
  </si>
  <si>
    <t>Mark up for Ration</t>
  </si>
  <si>
    <t>Change In Feed Cost  % +/-</t>
  </si>
  <si>
    <t>*If corn is priced at cost of ration.</t>
  </si>
  <si>
    <t>Lot Number</t>
  </si>
  <si>
    <t xml:space="preserve">Processing, Vet and Medicine </t>
  </si>
  <si>
    <t>Insurance and Misc.</t>
  </si>
  <si>
    <t>Processing Vet. Med Cost of Gain</t>
  </si>
  <si>
    <t>Total Unit Cost -TUC</t>
  </si>
  <si>
    <t>Total Unit Cost of Gain -Cwt.</t>
  </si>
  <si>
    <t>Feed Cost Based on Net Gain - Head Out</t>
  </si>
  <si>
    <t>Feed and Other Non-Cattle Direct Cost</t>
  </si>
  <si>
    <t>Out Date</t>
  </si>
  <si>
    <t>Payweight to Payweight - Hd. Out</t>
  </si>
  <si>
    <t>Difference</t>
  </si>
  <si>
    <t>Market Basis Adjustment If Applicable (+/-)</t>
  </si>
  <si>
    <t>Cost of Gain $/Cwt. (Total Unit Cost - Cost of Feeder)  $/Cwt.</t>
  </si>
  <si>
    <t>Feed Cost as % of Cost of Gain</t>
  </si>
  <si>
    <t>% Change</t>
  </si>
  <si>
    <t>Corn Price -DM Ton</t>
  </si>
  <si>
    <t>Ration/Corn Ratio</t>
  </si>
  <si>
    <t>Ration $/Cwt. DM*</t>
  </si>
  <si>
    <t>$/BU. Corn As Fed*</t>
  </si>
  <si>
    <t>Corn Price Bu.-As Fed**</t>
  </si>
  <si>
    <t>**Feed should be average for feeding period or starting date.</t>
  </si>
  <si>
    <t xml:space="preserve">Net Payweight ADG and Net Gain </t>
  </si>
  <si>
    <t xml:space="preserve">Lb./Day &amp; Head </t>
  </si>
  <si>
    <t>Miles Shipped</t>
  </si>
  <si>
    <t xml:space="preserve">Gross Cattle Cost (Price) After Discount or Premium </t>
  </si>
  <si>
    <r>
      <t>Gross Payweight Cost In-</t>
    </r>
    <r>
      <rPr>
        <b/>
        <sz val="12"/>
        <rFont val="Arial"/>
        <family val="2"/>
      </rPr>
      <t xml:space="preserve"> See Price Slide Below</t>
    </r>
  </si>
  <si>
    <r>
      <t xml:space="preserve">Gross Payweight Price Out- </t>
    </r>
    <r>
      <rPr>
        <b/>
        <sz val="12"/>
        <rFont val="Arial"/>
        <family val="2"/>
      </rPr>
      <t>See Price Slide Below</t>
    </r>
  </si>
  <si>
    <t>Yield</t>
  </si>
  <si>
    <t>Carcass Weight - Hot Wt.</t>
  </si>
  <si>
    <t>Carcass Projection</t>
  </si>
  <si>
    <t xml:space="preserve">         ADG</t>
  </si>
  <si>
    <t>Process,Vet Med.</t>
  </si>
  <si>
    <r>
      <t xml:space="preserve">Necessary Live Price </t>
    </r>
    <r>
      <rPr>
        <b/>
        <sz val="8"/>
        <rFont val="Arial"/>
        <family val="2"/>
      </rPr>
      <t xml:space="preserve"> </t>
    </r>
    <r>
      <rPr>
        <b/>
        <sz val="12"/>
        <rFont val="Arial"/>
        <family val="2"/>
      </rPr>
      <t>to Cover TUC &amp; Marketing Cost</t>
    </r>
  </si>
  <si>
    <t xml:space="preserve">Necessary Carcass Price to Cover TUC &amp; Marketing Cost </t>
  </si>
  <si>
    <r>
      <t xml:space="preserve">Necessary Carcass Price </t>
    </r>
    <r>
      <rPr>
        <b/>
        <sz val="10"/>
        <rFont val="Arial"/>
        <family val="2"/>
      </rPr>
      <t>to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 xml:space="preserve">Cover, Marketing, TUC &amp; Cap. Opp. Cost </t>
    </r>
  </si>
  <si>
    <t>Necessary Live Price to Cover, Marketing, TUC &amp; Capital Opp. Cost            %</t>
  </si>
  <si>
    <t>Price That Can Be Paid for Feeder Cover TUC &amp; Marketing**</t>
  </si>
  <si>
    <t>Does not include freight and other finished cattle marketing cost</t>
  </si>
  <si>
    <r>
      <t>Necessary Carcass Price to Cover TUC &amp; Marketing</t>
    </r>
    <r>
      <rPr>
        <b/>
        <sz val="8"/>
        <rFont val="Arial"/>
        <family val="2"/>
      </rPr>
      <t xml:space="preserve"> </t>
    </r>
    <r>
      <rPr>
        <b/>
        <sz val="12"/>
        <rFont val="Arial"/>
        <family val="2"/>
      </rPr>
      <t>Cost</t>
    </r>
  </si>
  <si>
    <t xml:space="preserve"> Ration DM Cost per Ton</t>
  </si>
  <si>
    <t xml:space="preserve"> Corn Price $/Ton As Fed</t>
  </si>
  <si>
    <t xml:space="preserve"> Corn Price $/BU </t>
  </si>
  <si>
    <t>Ratio of Ration Cost to Corn</t>
  </si>
  <si>
    <t>Necessary Carcass Price for Target ROI*</t>
  </si>
  <si>
    <t>*Cover marketing, total unit cost (TUC) and return to capital.</t>
  </si>
  <si>
    <t>Economic Cost Opportunity Cost or Target Return</t>
  </si>
  <si>
    <t>Feed Cost Per Ton of DM Fed</t>
  </si>
  <si>
    <t>Feed &amp; Yardage Cost per Ton of DM Fed</t>
  </si>
  <si>
    <t>Corn Price $/Bu.</t>
  </si>
  <si>
    <t>Necessary Live Price  to Cover TUC &amp; Marketing Cost</t>
  </si>
  <si>
    <t>Steers</t>
  </si>
  <si>
    <t>Feeder Price of Change in Price</t>
  </si>
  <si>
    <t>Corn Price change - $/Bushel</t>
  </si>
  <si>
    <t xml:space="preserve">                        Feeder Cost $/Cwt.</t>
  </si>
  <si>
    <t>Corn Price per Bushel</t>
  </si>
  <si>
    <t>Corn Price per Bushel Cost of Feed + Interest</t>
  </si>
  <si>
    <t>Ration Cost</t>
  </si>
  <si>
    <t>Total Feed Cost</t>
  </si>
  <si>
    <t>Non Feed &amp;Cattle</t>
  </si>
  <si>
    <t>Interest Cost</t>
  </si>
  <si>
    <t>Total Feed &amp; Non</t>
  </si>
  <si>
    <t>Cattle Cost $/Cwt.</t>
  </si>
  <si>
    <t>Freight</t>
  </si>
  <si>
    <t>Total Cost</t>
  </si>
  <si>
    <t>Total Feeder Cost</t>
  </si>
  <si>
    <t>Feeder Cost</t>
  </si>
  <si>
    <t>TUC</t>
  </si>
  <si>
    <t>TUC/Cwt. Out</t>
  </si>
  <si>
    <t>Net Payweight Out</t>
  </si>
  <si>
    <t>Divisor</t>
  </si>
  <si>
    <t>Freight Out</t>
  </si>
  <si>
    <t>Other Costs</t>
  </si>
  <si>
    <t xml:space="preserve">All Non Cattle Cost </t>
  </si>
  <si>
    <t xml:space="preserve">*This is the necessary payweight out sales price to cover all costs including interest, G&amp;A and marketing cost, </t>
  </si>
  <si>
    <t>Total Unit Cost of Production + Marketing Cost (TUC) $/Cwt. *</t>
  </si>
  <si>
    <t>Total Unit Cost (TUC) - Cwt.**</t>
  </si>
  <si>
    <t>**This include out marketing costs.</t>
  </si>
  <si>
    <t>Sensitive Analysis of Corn and Feeder Price and TUC + Marketing Cost</t>
  </si>
  <si>
    <t xml:space="preserve">    Total Production - Cwt. divisor</t>
  </si>
  <si>
    <t>Angus Cross</t>
  </si>
  <si>
    <t>L</t>
  </si>
  <si>
    <t>Muscle</t>
  </si>
  <si>
    <t>Prior Management</t>
  </si>
  <si>
    <t>Feeder In Date</t>
  </si>
  <si>
    <r>
      <t xml:space="preserve">Net Payweight Sales Price $/Cwt. </t>
    </r>
    <r>
      <rPr>
        <b/>
        <sz val="10"/>
        <rFont val="Arial"/>
        <family val="2"/>
      </rPr>
      <t>(Net of marketing costs)</t>
    </r>
  </si>
  <si>
    <t>Net of marketing costs.</t>
  </si>
  <si>
    <t>Includes marketing costs.</t>
  </si>
  <si>
    <t>Over Payment for Feeder $/Cwt.</t>
  </si>
  <si>
    <t>Corn $/Bu.</t>
  </si>
  <si>
    <t xml:space="preserve">Necessary Live Price to Cover TUC &amp; Marketing Cost </t>
  </si>
  <si>
    <t>Finished Out Payweight - Lb./Head</t>
  </si>
  <si>
    <t>Base price</t>
  </si>
  <si>
    <t xml:space="preserve">  Version</t>
  </si>
  <si>
    <t>Commodity</t>
  </si>
  <si>
    <t>&lt;---------</t>
  </si>
  <si>
    <t>Full cost breakeven</t>
  </si>
  <si>
    <t>Return to capital</t>
  </si>
  <si>
    <t>Futures Market</t>
  </si>
  <si>
    <t>Base Feeder Price*</t>
  </si>
  <si>
    <t xml:space="preserve"> Yardage</t>
  </si>
  <si>
    <t xml:space="preserve">Other Cost  or  Premium </t>
  </si>
  <si>
    <t>TX</t>
  </si>
  <si>
    <t>Error</t>
  </si>
  <si>
    <t>Ration Interest</t>
  </si>
  <si>
    <t xml:space="preserve">Rounding </t>
  </si>
  <si>
    <t>General Administrative Cost (G&amp;A) &amp; Management</t>
  </si>
  <si>
    <t xml:space="preserve">Birth Weight </t>
  </si>
  <si>
    <t>Birth  Date</t>
  </si>
  <si>
    <t>Days of Age</t>
  </si>
  <si>
    <t>Death Loss Adjusted</t>
  </si>
  <si>
    <t>Cost of Gain</t>
  </si>
  <si>
    <t xml:space="preserve">                                                                  Cattle Origin </t>
  </si>
  <si>
    <t xml:space="preserve">                                                                    Feed Yard</t>
  </si>
  <si>
    <t xml:space="preserve">                                                                      Frame</t>
  </si>
  <si>
    <t>Calculated cost of gain</t>
  </si>
  <si>
    <t>Ration Input Value $/Ton</t>
  </si>
  <si>
    <t>Cost of Gain/Cwt.</t>
  </si>
  <si>
    <t>In cell D84</t>
  </si>
  <si>
    <t xml:space="preserve">Custom Cattle Finishing Profit Projection </t>
  </si>
  <si>
    <t>Prior Management 1. Bawling calf 2. Pre-conditioned Calf, 3. Weaned calf grazed, 4. Weaned calf from dry lot or grow yard, 5. Yearling</t>
  </si>
  <si>
    <t>Prior Management (1 to 5) See options on right</t>
  </si>
  <si>
    <t>Yearling</t>
  </si>
  <si>
    <t>_______________________________________________________________________________________________________________________</t>
  </si>
  <si>
    <t xml:space="preserve"> % of</t>
  </si>
  <si>
    <t xml:space="preserve"> TUC</t>
  </si>
  <si>
    <t>Finished</t>
  </si>
  <si>
    <t>Return on Equity ROE</t>
  </si>
  <si>
    <t>You must use your own data.</t>
  </si>
  <si>
    <t>ROE</t>
  </si>
  <si>
    <t>ROA</t>
  </si>
  <si>
    <t>Cost of Gain (COG) Per Cwt. and Head</t>
  </si>
  <si>
    <t>Value of Gain (VOG)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</si>
</sst>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dd\-mmm\-yy_)"/>
    <numFmt numFmtId="166" formatCode="0_)"/>
    <numFmt numFmtId="167" formatCode="0.0"/>
    <numFmt numFmtId="168" formatCode="&quot;$&quot;#,##0.00"/>
    <numFmt numFmtId="169" formatCode="0.0_)"/>
    <numFmt numFmtId="170" formatCode="&quot;$&quot;#,##0"/>
    <numFmt numFmtId="171" formatCode="[$$-409]#,##0.00_);\([$$-409]#,##0.00\)"/>
    <numFmt numFmtId="172" formatCode="[$$-409]#,##0.00_);[Red]\([$$-409]#,##0.00\)"/>
    <numFmt numFmtId="173" formatCode="[$$-409]#,##0.00"/>
    <numFmt numFmtId="174" formatCode="0.000"/>
    <numFmt numFmtId="175" formatCode="_(* #,##0_);_(* \(#,##0\);_(* &quot;-&quot;??_);_(@_)"/>
    <numFmt numFmtId="176" formatCode="[$$-409]#,##0"/>
    <numFmt numFmtId="177" formatCode="&quot;$&quot;#,##0.0000_);\(&quot;$&quot;#,##0.0000\)"/>
    <numFmt numFmtId="178" formatCode="0.0_);\(0.0\)"/>
    <numFmt numFmtId="179" formatCode="0_);\(0\)"/>
    <numFmt numFmtId="180" formatCode="0.00_);\(0.00\)"/>
    <numFmt numFmtId="181" formatCode="[$$-409]#,##0_);[Red]\([$$-409]#,##0\)"/>
    <numFmt numFmtId="182" formatCode="_(&quot;$&quot;* #,##0_);_(&quot;$&quot;* \(#,##0\);_(&quot;$&quot;* &quot;-&quot;??_);_(@_)"/>
    <numFmt numFmtId="183" formatCode="[$-409]d\-mmm\-yy;@"/>
    <numFmt numFmtId="184" formatCode="0.0%"/>
    <numFmt numFmtId="185" formatCode="[$$-409]#,##0.000_);\([$$-409]#,##0.000\)"/>
  </numFmts>
  <fonts count="3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3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indexed="3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color indexed="17"/>
      <name val="Arial"/>
      <family val="2"/>
    </font>
    <font>
      <sz val="11"/>
      <color indexed="17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12"/>
      <color indexed="3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sz val="12"/>
      <color indexed="30"/>
      <name val="Arial"/>
      <family val="2"/>
    </font>
    <font>
      <sz val="12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427">
    <xf numFmtId="0" fontId="0" fillId="0" borderId="0" xfId="0"/>
    <xf numFmtId="0" fontId="2" fillId="0" borderId="0" xfId="0" applyFont="1"/>
    <xf numFmtId="166" fontId="6" fillId="0" borderId="0" xfId="0" applyNumberFormat="1" applyFont="1" applyProtection="1"/>
    <xf numFmtId="7" fontId="0" fillId="0" borderId="0" xfId="0" applyNumberFormat="1" applyProtection="1"/>
    <xf numFmtId="3" fontId="0" fillId="0" borderId="0" xfId="0" applyNumberFormat="1"/>
    <xf numFmtId="168" fontId="6" fillId="0" borderId="0" xfId="0" applyNumberFormat="1" applyFont="1"/>
    <xf numFmtId="0" fontId="2" fillId="0" borderId="0" xfId="0" applyFont="1" applyAlignment="1">
      <alignment horizontal="center"/>
    </xf>
    <xf numFmtId="5" fontId="2" fillId="0" borderId="0" xfId="0" applyNumberFormat="1" applyFont="1" applyProtection="1"/>
    <xf numFmtId="0" fontId="5" fillId="0" borderId="0" xfId="0" applyFont="1"/>
    <xf numFmtId="169" fontId="4" fillId="2" borderId="1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166" fontId="4" fillId="2" borderId="1" xfId="0" applyNumberFormat="1" applyFont="1" applyFill="1" applyBorder="1" applyProtection="1">
      <protection locked="0"/>
    </xf>
    <xf numFmtId="7" fontId="2" fillId="0" borderId="0" xfId="0" applyNumberFormat="1" applyFont="1" applyProtection="1"/>
    <xf numFmtId="0" fontId="6" fillId="0" borderId="0" xfId="0" applyFont="1"/>
    <xf numFmtId="0" fontId="6" fillId="0" borderId="0" xfId="0" applyFont="1" applyProtection="1">
      <protection locked="0"/>
    </xf>
    <xf numFmtId="0" fontId="6" fillId="0" borderId="0" xfId="0" applyNumberFormat="1" applyFont="1" applyAlignment="1">
      <alignment vertical="center"/>
    </xf>
    <xf numFmtId="0" fontId="4" fillId="0" borderId="0" xfId="0" applyFont="1" applyProtection="1">
      <protection locked="0"/>
    </xf>
    <xf numFmtId="0" fontId="6" fillId="0" borderId="0" xfId="0" applyFont="1" applyProtection="1"/>
    <xf numFmtId="7" fontId="6" fillId="0" borderId="0" xfId="0" applyNumberFormat="1" applyFont="1" applyProtection="1"/>
    <xf numFmtId="0" fontId="6" fillId="0" borderId="0" xfId="0" applyFont="1" applyAlignment="1">
      <alignment horizontal="center"/>
    </xf>
    <xf numFmtId="171" fontId="6" fillId="0" borderId="0" xfId="0" applyNumberFormat="1" applyFont="1" applyProtection="1"/>
    <xf numFmtId="0" fontId="2" fillId="0" borderId="0" xfId="0" applyFont="1" applyAlignment="1">
      <alignment horizontal="fill"/>
    </xf>
    <xf numFmtId="172" fontId="0" fillId="0" borderId="0" xfId="0" applyNumberFormat="1"/>
    <xf numFmtId="7" fontId="0" fillId="0" borderId="0" xfId="0" applyNumberFormat="1"/>
    <xf numFmtId="0" fontId="8" fillId="0" borderId="0" xfId="0" applyFont="1"/>
    <xf numFmtId="0" fontId="3" fillId="0" borderId="0" xfId="0" applyFont="1"/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5" fontId="6" fillId="0" borderId="0" xfId="0" applyNumberFormat="1" applyFont="1"/>
    <xf numFmtId="172" fontId="6" fillId="0" borderId="0" xfId="0" applyNumberFormat="1" applyFont="1"/>
    <xf numFmtId="166" fontId="6" fillId="0" borderId="0" xfId="0" applyNumberFormat="1" applyFont="1"/>
    <xf numFmtId="166" fontId="6" fillId="0" borderId="0" xfId="0" applyNumberFormat="1" applyFont="1" applyAlignment="1">
      <alignment horizontal="left" indent="6"/>
    </xf>
    <xf numFmtId="166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7" fontId="4" fillId="0" borderId="1" xfId="0" applyNumberFormat="1" applyFont="1" applyBorder="1" applyProtection="1">
      <protection locked="0"/>
    </xf>
    <xf numFmtId="5" fontId="6" fillId="0" borderId="0" xfId="0" applyNumberFormat="1" applyFont="1" applyProtection="1"/>
    <xf numFmtId="0" fontId="6" fillId="0" borderId="0" xfId="0" quotePrefix="1" applyFont="1" applyAlignment="1">
      <alignment horizontal="center"/>
    </xf>
    <xf numFmtId="10" fontId="6" fillId="0" borderId="0" xfId="0" applyNumberFormat="1" applyFont="1" applyProtection="1"/>
    <xf numFmtId="7" fontId="6" fillId="0" borderId="0" xfId="0" applyNumberFormat="1" applyFont="1"/>
    <xf numFmtId="0" fontId="12" fillId="0" borderId="0" xfId="0" applyFont="1"/>
    <xf numFmtId="0" fontId="5" fillId="0" borderId="0" xfId="0" applyFont="1" applyAlignment="1">
      <alignment horizontal="left"/>
    </xf>
    <xf numFmtId="7" fontId="11" fillId="2" borderId="0" xfId="0" applyNumberFormat="1" applyFont="1" applyFill="1" applyProtection="1"/>
    <xf numFmtId="37" fontId="4" fillId="0" borderId="1" xfId="0" applyNumberFormat="1" applyFont="1" applyBorder="1" applyProtection="1">
      <protection locked="0"/>
    </xf>
    <xf numFmtId="7" fontId="2" fillId="0" borderId="0" xfId="0" applyNumberFormat="1" applyFont="1"/>
    <xf numFmtId="7" fontId="6" fillId="0" borderId="0" xfId="0" applyNumberFormat="1" applyFont="1" applyBorder="1"/>
    <xf numFmtId="180" fontId="4" fillId="2" borderId="1" xfId="0" applyNumberFormat="1" applyFont="1" applyFill="1" applyBorder="1" applyProtection="1">
      <protection locked="0"/>
    </xf>
    <xf numFmtId="7" fontId="7" fillId="0" borderId="0" xfId="0" applyNumberFormat="1" applyFont="1" applyProtection="1">
      <protection locked="0"/>
    </xf>
    <xf numFmtId="179" fontId="6" fillId="0" borderId="0" xfId="0" applyNumberFormat="1" applyFont="1" applyAlignment="1" applyProtection="1"/>
    <xf numFmtId="179" fontId="7" fillId="0" borderId="0" xfId="0" applyNumberFormat="1" applyFont="1" applyProtection="1">
      <protection locked="0"/>
    </xf>
    <xf numFmtId="166" fontId="4" fillId="0" borderId="2" xfId="0" applyNumberFormat="1" applyFont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1" fontId="5" fillId="0" borderId="0" xfId="0" applyNumberFormat="1" applyFont="1"/>
    <xf numFmtId="14" fontId="3" fillId="0" borderId="0" xfId="0" quotePrefix="1" applyNumberFormat="1" applyFont="1" applyAlignment="1">
      <alignment horizontal="left"/>
    </xf>
    <xf numFmtId="37" fontId="6" fillId="0" borderId="0" xfId="0" applyNumberFormat="1" applyFont="1"/>
    <xf numFmtId="175" fontId="4" fillId="2" borderId="1" xfId="1" applyNumberFormat="1" applyFont="1" applyFill="1" applyBorder="1" applyProtection="1">
      <protection locked="0"/>
    </xf>
    <xf numFmtId="7" fontId="6" fillId="0" borderId="0" xfId="0" applyNumberFormat="1" applyFont="1" applyBorder="1" applyProtection="1"/>
    <xf numFmtId="175" fontId="11" fillId="0" borderId="0" xfId="1" applyNumberFormat="1" applyFont="1" applyBorder="1" applyProtection="1"/>
    <xf numFmtId="171" fontId="2" fillId="0" borderId="0" xfId="0" applyNumberFormat="1" applyFont="1" applyProtection="1"/>
    <xf numFmtId="7" fontId="5" fillId="0" borderId="0" xfId="0" applyNumberFormat="1" applyFont="1"/>
    <xf numFmtId="0" fontId="6" fillId="0" borderId="0" xfId="0" applyFont="1" applyBorder="1" applyProtection="1"/>
    <xf numFmtId="0" fontId="6" fillId="0" borderId="0" xfId="0" applyFont="1" applyFill="1"/>
    <xf numFmtId="0" fontId="15" fillId="0" borderId="0" xfId="0" applyFont="1"/>
    <xf numFmtId="183" fontId="6" fillId="0" borderId="0" xfId="0" applyNumberFormat="1" applyFont="1" applyBorder="1" applyProtection="1"/>
    <xf numFmtId="8" fontId="6" fillId="0" borderId="0" xfId="0" applyNumberFormat="1" applyFont="1" applyBorder="1" applyProtection="1"/>
    <xf numFmtId="0" fontId="7" fillId="0" borderId="3" xfId="0" applyFont="1" applyBorder="1" applyAlignment="1" applyProtection="1">
      <alignment horizontal="left"/>
      <protection locked="0"/>
    </xf>
    <xf numFmtId="2" fontId="5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5" fontId="2" fillId="0" borderId="0" xfId="0" applyNumberFormat="1" applyFont="1" applyFill="1" applyProtection="1"/>
    <xf numFmtId="168" fontId="6" fillId="0" borderId="0" xfId="0" applyNumberFormat="1" applyFont="1" applyFill="1"/>
    <xf numFmtId="7" fontId="6" fillId="0" borderId="0" xfId="0" applyNumberFormat="1" applyFont="1" applyFill="1" applyProtection="1"/>
    <xf numFmtId="166" fontId="6" fillId="0" borderId="0" xfId="0" applyNumberFormat="1" applyFont="1" applyFill="1" applyProtection="1"/>
    <xf numFmtId="0" fontId="18" fillId="0" borderId="0" xfId="0" applyFont="1" applyAlignment="1">
      <alignment horizontal="center"/>
    </xf>
    <xf numFmtId="0" fontId="6" fillId="0" borderId="0" xfId="3"/>
    <xf numFmtId="0" fontId="2" fillId="3" borderId="0" xfId="0" applyFont="1" applyFill="1"/>
    <xf numFmtId="0" fontId="2" fillId="3" borderId="0" xfId="0" applyFont="1" applyFill="1" applyAlignment="1">
      <alignment horizontal="center"/>
    </xf>
    <xf numFmtId="7" fontId="2" fillId="3" borderId="0" xfId="0" applyNumberFormat="1" applyFont="1" applyFill="1" applyAlignment="1">
      <alignment horizontal="right"/>
    </xf>
    <xf numFmtId="3" fontId="12" fillId="0" borderId="0" xfId="0" applyNumberFormat="1" applyFont="1"/>
    <xf numFmtId="175" fontId="5" fillId="0" borderId="0" xfId="0" applyNumberFormat="1" applyFont="1"/>
    <xf numFmtId="0" fontId="0" fillId="0" borderId="0" xfId="0" applyFill="1"/>
    <xf numFmtId="0" fontId="4" fillId="0" borderId="0" xfId="0" applyFont="1" applyFill="1" applyBorder="1"/>
    <xf numFmtId="0" fontId="6" fillId="0" borderId="0" xfId="0" applyFont="1" applyFill="1" applyBorder="1" applyProtection="1"/>
    <xf numFmtId="0" fontId="2" fillId="0" borderId="0" xfId="0" applyFont="1" applyFill="1" applyAlignment="1">
      <alignment horizontal="center"/>
    </xf>
    <xf numFmtId="0" fontId="6" fillId="3" borderId="0" xfId="0" applyFont="1" applyFill="1"/>
    <xf numFmtId="5" fontId="2" fillId="3" borderId="0" xfId="0" applyNumberFormat="1" applyFont="1" applyFill="1" applyProtection="1"/>
    <xf numFmtId="0" fontId="2" fillId="0" borderId="0" xfId="0" applyFont="1" applyProtection="1"/>
    <xf numFmtId="5" fontId="2" fillId="0" borderId="0" xfId="0" applyNumberFormat="1" applyFont="1"/>
    <xf numFmtId="7" fontId="2" fillId="0" borderId="0" xfId="0" applyNumberFormat="1" applyFont="1" applyProtection="1">
      <protection locked="0"/>
    </xf>
    <xf numFmtId="0" fontId="15" fillId="0" borderId="0" xfId="3" applyFont="1"/>
    <xf numFmtId="0" fontId="15" fillId="0" borderId="0" xfId="3" applyFont="1" applyAlignment="1">
      <alignment horizontal="left"/>
    </xf>
    <xf numFmtId="0" fontId="20" fillId="0" borderId="0" xfId="3" applyFont="1"/>
    <xf numFmtId="6" fontId="15" fillId="0" borderId="0" xfId="3" applyNumberFormat="1" applyFont="1" applyProtection="1"/>
    <xf numFmtId="5" fontId="15" fillId="0" borderId="0" xfId="0" applyNumberFormat="1" applyFont="1"/>
    <xf numFmtId="2" fontId="15" fillId="0" borderId="0" xfId="0" applyNumberFormat="1" applyFont="1"/>
    <xf numFmtId="5" fontId="2" fillId="3" borderId="0" xfId="0" applyNumberFormat="1" applyFont="1" applyFill="1"/>
    <xf numFmtId="0" fontId="2" fillId="0" borderId="0" xfId="0" quotePrefix="1" applyFont="1" applyAlignment="1">
      <alignment horizontal="center"/>
    </xf>
    <xf numFmtId="168" fontId="15" fillId="0" borderId="0" xfId="0" applyNumberFormat="1" applyFont="1"/>
    <xf numFmtId="175" fontId="2" fillId="0" borderId="0" xfId="1" applyNumberFormat="1" applyFont="1" applyProtection="1"/>
    <xf numFmtId="175" fontId="6" fillId="0" borderId="0" xfId="1" applyNumberFormat="1" applyFont="1" applyProtection="1"/>
    <xf numFmtId="0" fontId="13" fillId="0" borderId="0" xfId="0" applyFont="1" applyAlignment="1">
      <alignment horizontal="center"/>
    </xf>
    <xf numFmtId="7" fontId="4" fillId="0" borderId="0" xfId="0" applyNumberFormat="1" applyFont="1" applyBorder="1" applyProtection="1">
      <protection locked="0"/>
    </xf>
    <xf numFmtId="175" fontId="6" fillId="0" borderId="0" xfId="1" applyNumberFormat="1" applyFont="1" applyAlignment="1" applyProtection="1"/>
    <xf numFmtId="3" fontId="6" fillId="0" borderId="0" xfId="0" applyNumberFormat="1" applyFont="1" applyFill="1" applyProtection="1"/>
    <xf numFmtId="2" fontId="6" fillId="0" borderId="0" xfId="0" applyNumberFormat="1" applyFont="1" applyFill="1" applyProtection="1"/>
    <xf numFmtId="181" fontId="0" fillId="0" borderId="0" xfId="0" applyNumberFormat="1"/>
    <xf numFmtId="7" fontId="5" fillId="0" borderId="0" xfId="0" applyNumberFormat="1" applyFont="1" applyAlignment="1">
      <alignment horizontal="right"/>
    </xf>
    <xf numFmtId="0" fontId="20" fillId="0" borderId="4" xfId="0" applyFont="1" applyBorder="1"/>
    <xf numFmtId="2" fontId="15" fillId="0" borderId="5" xfId="0" applyNumberFormat="1" applyFont="1" applyBorder="1"/>
    <xf numFmtId="0" fontId="15" fillId="0" borderId="5" xfId="0" applyFont="1" applyBorder="1"/>
    <xf numFmtId="0" fontId="15" fillId="0" borderId="6" xfId="0" applyFont="1" applyBorder="1"/>
    <xf numFmtId="166" fontId="15" fillId="0" borderId="7" xfId="0" applyNumberFormat="1" applyFont="1" applyBorder="1"/>
    <xf numFmtId="0" fontId="15" fillId="0" borderId="0" xfId="0" applyFont="1" applyBorder="1"/>
    <xf numFmtId="0" fontId="15" fillId="0" borderId="8" xfId="0" applyFont="1" applyBorder="1"/>
    <xf numFmtId="2" fontId="15" fillId="0" borderId="7" xfId="0" applyNumberFormat="1" applyFont="1" applyBorder="1"/>
    <xf numFmtId="176" fontId="15" fillId="0" borderId="7" xfId="0" applyNumberFormat="1" applyFont="1" applyBorder="1"/>
    <xf numFmtId="176" fontId="15" fillId="0" borderId="7" xfId="1" applyNumberFormat="1" applyFont="1" applyBorder="1" applyProtection="1"/>
    <xf numFmtId="180" fontId="15" fillId="0" borderId="0" xfId="0" applyNumberFormat="1" applyFont="1" applyBorder="1"/>
    <xf numFmtId="176" fontId="15" fillId="0" borderId="9" xfId="0" applyNumberFormat="1" applyFont="1" applyBorder="1" applyProtection="1"/>
    <xf numFmtId="0" fontId="15" fillId="0" borderId="10" xfId="0" applyFont="1" applyBorder="1"/>
    <xf numFmtId="0" fontId="15" fillId="0" borderId="11" xfId="0" applyFont="1" applyBorder="1"/>
    <xf numFmtId="0" fontId="20" fillId="0" borderId="7" xfId="0" applyFont="1" applyBorder="1" applyAlignment="1">
      <alignment horizontal="center"/>
    </xf>
    <xf numFmtId="9" fontId="2" fillId="0" borderId="0" xfId="4" applyFont="1"/>
    <xf numFmtId="184" fontId="6" fillId="0" borderId="0" xfId="4" applyNumberFormat="1" applyFont="1" applyBorder="1" applyProtection="1"/>
    <xf numFmtId="2" fontId="6" fillId="0" borderId="0" xfId="0" applyNumberFormat="1" applyFont="1" applyBorder="1" applyProtection="1"/>
    <xf numFmtId="180" fontId="7" fillId="0" borderId="3" xfId="0" applyNumberFormat="1" applyFont="1" applyBorder="1" applyProtection="1">
      <protection locked="0"/>
    </xf>
    <xf numFmtId="178" fontId="7" fillId="0" borderId="1" xfId="0" applyNumberFormat="1" applyFont="1" applyBorder="1" applyProtection="1">
      <protection locked="0"/>
    </xf>
    <xf numFmtId="2" fontId="14" fillId="0" borderId="3" xfId="0" applyNumberFormat="1" applyFont="1" applyBorder="1" applyAlignment="1" applyProtection="1">
      <alignment horizontal="right"/>
      <protection locked="0"/>
    </xf>
    <xf numFmtId="7" fontId="7" fillId="0" borderId="3" xfId="0" applyNumberFormat="1" applyFont="1" applyBorder="1" applyProtection="1">
      <protection locked="0"/>
    </xf>
    <xf numFmtId="0" fontId="8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3" xfId="0" applyFont="1" applyFill="1" applyBorder="1" applyAlignment="1" applyProtection="1">
      <alignment horizontal="left"/>
      <protection locked="0"/>
    </xf>
    <xf numFmtId="37" fontId="6" fillId="0" borderId="0" xfId="0" applyNumberFormat="1" applyFont="1" applyFill="1" applyProtection="1"/>
    <xf numFmtId="180" fontId="6" fillId="0" borderId="0" xfId="0" applyNumberFormat="1" applyFont="1" applyFill="1"/>
    <xf numFmtId="0" fontId="6" fillId="0" borderId="0" xfId="0" applyFont="1" applyFill="1" applyAlignment="1">
      <alignment horizontal="center"/>
    </xf>
    <xf numFmtId="175" fontId="6" fillId="0" borderId="0" xfId="1" applyNumberFormat="1" applyFont="1" applyFill="1"/>
    <xf numFmtId="175" fontId="5" fillId="0" borderId="0" xfId="0" applyNumberFormat="1" applyFont="1" applyFill="1"/>
    <xf numFmtId="170" fontId="0" fillId="0" borderId="0" xfId="0" applyNumberFormat="1" applyFill="1"/>
    <xf numFmtId="0" fontId="2" fillId="3" borderId="0" xfId="0" applyFont="1" applyFill="1" applyProtection="1"/>
    <xf numFmtId="0" fontId="4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179" fontId="5" fillId="3" borderId="0" xfId="0" applyNumberFormat="1" applyFont="1" applyFill="1"/>
    <xf numFmtId="0" fontId="5" fillId="3" borderId="0" xfId="0" applyFont="1" applyFill="1"/>
    <xf numFmtId="7" fontId="2" fillId="3" borderId="0" xfId="0" applyNumberFormat="1" applyFont="1" applyFill="1"/>
    <xf numFmtId="7" fontId="2" fillId="3" borderId="0" xfId="0" applyNumberFormat="1" applyFont="1" applyFill="1" applyAlignment="1" applyProtection="1">
      <alignment horizontal="right"/>
    </xf>
    <xf numFmtId="0" fontId="6" fillId="3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7" fontId="2" fillId="3" borderId="0" xfId="0" applyNumberFormat="1" applyFont="1" applyFill="1" applyProtection="1"/>
    <xf numFmtId="0" fontId="12" fillId="3" borderId="0" xfId="0" applyFont="1" applyFill="1"/>
    <xf numFmtId="8" fontId="2" fillId="3" borderId="0" xfId="4" applyNumberFormat="1" applyFont="1" applyFill="1"/>
    <xf numFmtId="172" fontId="2" fillId="0" borderId="0" xfId="0" applyNumberFormat="1" applyFont="1" applyProtection="1"/>
    <xf numFmtId="175" fontId="6" fillId="0" borderId="0" xfId="1" applyNumberFormat="1" applyFont="1" applyBorder="1" applyAlignment="1" applyProtection="1">
      <alignment horizontal="right"/>
    </xf>
    <xf numFmtId="8" fontId="5" fillId="0" borderId="0" xfId="0" applyNumberFormat="1" applyFont="1"/>
    <xf numFmtId="5" fontId="5" fillId="0" borderId="0" xfId="0" applyNumberFormat="1" applyFont="1"/>
    <xf numFmtId="3" fontId="5" fillId="0" borderId="0" xfId="0" applyNumberFormat="1" applyFont="1"/>
    <xf numFmtId="8" fontId="2" fillId="0" borderId="0" xfId="0" applyNumberFormat="1" applyFont="1"/>
    <xf numFmtId="9" fontId="22" fillId="0" borderId="0" xfId="4" applyFont="1"/>
    <xf numFmtId="6" fontId="12" fillId="0" borderId="0" xfId="0" applyNumberFormat="1" applyFont="1"/>
    <xf numFmtId="168" fontId="0" fillId="0" borderId="0" xfId="0" applyNumberFormat="1"/>
    <xf numFmtId="0" fontId="20" fillId="0" borderId="4" xfId="3" applyFont="1" applyFill="1" applyBorder="1"/>
    <xf numFmtId="7" fontId="12" fillId="3" borderId="0" xfId="0" applyNumberFormat="1" applyFont="1" applyFill="1"/>
    <xf numFmtId="173" fontId="12" fillId="3" borderId="0" xfId="0" applyNumberFormat="1" applyFont="1" applyFill="1"/>
    <xf numFmtId="0" fontId="15" fillId="0" borderId="5" xfId="3" applyFont="1" applyBorder="1" applyProtection="1"/>
    <xf numFmtId="0" fontId="20" fillId="0" borderId="5" xfId="3" applyFont="1" applyBorder="1" applyProtection="1"/>
    <xf numFmtId="0" fontId="15" fillId="0" borderId="6" xfId="3" applyFont="1" applyBorder="1"/>
    <xf numFmtId="8" fontId="15" fillId="0" borderId="7" xfId="2" applyNumberFormat="1" applyFont="1" applyBorder="1" applyAlignment="1" applyProtection="1">
      <alignment horizontal="right"/>
    </xf>
    <xf numFmtId="0" fontId="15" fillId="0" borderId="0" xfId="3" applyFont="1" applyBorder="1" applyAlignment="1" applyProtection="1">
      <alignment horizontal="left"/>
    </xf>
    <xf numFmtId="0" fontId="20" fillId="0" borderId="0" xfId="3" applyFont="1" applyBorder="1" applyProtection="1"/>
    <xf numFmtId="6" fontId="15" fillId="0" borderId="0" xfId="3" applyNumberFormat="1" applyFont="1" applyBorder="1" applyAlignment="1" applyProtection="1">
      <alignment horizontal="right"/>
    </xf>
    <xf numFmtId="0" fontId="15" fillId="0" borderId="0" xfId="3" applyFont="1" applyBorder="1" applyAlignment="1">
      <alignment horizontal="left"/>
    </xf>
    <xf numFmtId="0" fontId="20" fillId="0" borderId="8" xfId="3" applyFont="1" applyBorder="1"/>
    <xf numFmtId="175" fontId="15" fillId="0" borderId="7" xfId="1" applyNumberFormat="1" applyFont="1" applyBorder="1" applyAlignment="1" applyProtection="1">
      <alignment horizontal="right"/>
    </xf>
    <xf numFmtId="8" fontId="15" fillId="0" borderId="0" xfId="3" applyNumberFormat="1" applyFont="1" applyBorder="1" applyProtection="1"/>
    <xf numFmtId="1" fontId="15" fillId="0" borderId="9" xfId="3" applyNumberFormat="1" applyFont="1" applyBorder="1" applyProtection="1"/>
    <xf numFmtId="0" fontId="15" fillId="0" borderId="10" xfId="3" applyFont="1" applyBorder="1" applyProtection="1"/>
    <xf numFmtId="8" fontId="15" fillId="0" borderId="10" xfId="3" applyNumberFormat="1" applyFont="1" applyBorder="1" applyProtection="1"/>
    <xf numFmtId="0" fontId="15" fillId="0" borderId="7" xfId="0" applyFont="1" applyBorder="1"/>
    <xf numFmtId="170" fontId="15" fillId="0" borderId="0" xfId="0" applyNumberFormat="1" applyFont="1" applyBorder="1"/>
    <xf numFmtId="175" fontId="15" fillId="0" borderId="8" xfId="1" applyNumberFormat="1" applyFont="1" applyBorder="1"/>
    <xf numFmtId="5" fontId="15" fillId="0" borderId="0" xfId="0" applyNumberFormat="1" applyFont="1" applyBorder="1"/>
    <xf numFmtId="2" fontId="15" fillId="0" borderId="8" xfId="0" applyNumberFormat="1" applyFont="1" applyBorder="1"/>
    <xf numFmtId="0" fontId="0" fillId="0" borderId="8" xfId="0" applyBorder="1"/>
    <xf numFmtId="0" fontId="20" fillId="0" borderId="9" xfId="0" applyFont="1" applyBorder="1"/>
    <xf numFmtId="0" fontId="20" fillId="0" borderId="10" xfId="0" applyFont="1" applyBorder="1"/>
    <xf numFmtId="7" fontId="20" fillId="0" borderId="10" xfId="0" applyNumberFormat="1" applyFont="1" applyBorder="1"/>
    <xf numFmtId="168" fontId="20" fillId="0" borderId="11" xfId="0" applyNumberFormat="1" applyFont="1" applyBorder="1"/>
    <xf numFmtId="0" fontId="15" fillId="0" borderId="0" xfId="0" applyFont="1" applyAlignment="1">
      <alignment horizontal="center"/>
    </xf>
    <xf numFmtId="0" fontId="8" fillId="0" borderId="7" xfId="0" applyFont="1" applyBorder="1"/>
    <xf numFmtId="0" fontId="8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7" xfId="0" applyFont="1" applyFill="1" applyBorder="1"/>
    <xf numFmtId="0" fontId="0" fillId="0" borderId="0" xfId="0" applyBorder="1"/>
    <xf numFmtId="0" fontId="6" fillId="0" borderId="0" xfId="0" applyFont="1" applyBorder="1" applyAlignment="1">
      <alignment horizontal="center"/>
    </xf>
    <xf numFmtId="168" fontId="0" fillId="0" borderId="7" xfId="0" applyNumberFormat="1" applyBorder="1"/>
    <xf numFmtId="170" fontId="8" fillId="0" borderId="0" xfId="0" applyNumberFormat="1" applyFont="1" applyBorder="1"/>
    <xf numFmtId="44" fontId="15" fillId="0" borderId="0" xfId="2" applyFont="1" applyBorder="1" applyProtection="1"/>
    <xf numFmtId="5" fontId="20" fillId="0" borderId="0" xfId="0" applyNumberFormat="1" applyFont="1" applyBorder="1"/>
    <xf numFmtId="0" fontId="0" fillId="0" borderId="7" xfId="0" applyBorder="1"/>
    <xf numFmtId="44" fontId="15" fillId="0" borderId="0" xfId="0" applyNumberFormat="1" applyFont="1" applyBorder="1"/>
    <xf numFmtId="177" fontId="0" fillId="0" borderId="7" xfId="0" applyNumberFormat="1" applyBorder="1"/>
    <xf numFmtId="0" fontId="20" fillId="0" borderId="0" xfId="0" applyFont="1" applyBorder="1"/>
    <xf numFmtId="174" fontId="24" fillId="0" borderId="0" xfId="0" applyNumberFormat="1" applyFont="1" applyBorder="1"/>
    <xf numFmtId="7" fontId="6" fillId="0" borderId="7" xfId="0" applyNumberFormat="1" applyFont="1" applyBorder="1" applyProtection="1"/>
    <xf numFmtId="172" fontId="20" fillId="0" borderId="0" xfId="2" applyNumberFormat="1" applyFont="1" applyBorder="1" applyProtection="1"/>
    <xf numFmtId="172" fontId="15" fillId="0" borderId="0" xfId="2" applyNumberFormat="1" applyFont="1" applyBorder="1" applyProtection="1"/>
    <xf numFmtId="182" fontId="20" fillId="0" borderId="0" xfId="0" applyNumberFormat="1" applyFont="1" applyBorder="1"/>
    <xf numFmtId="172" fontId="15" fillId="0" borderId="0" xfId="0" applyNumberFormat="1" applyFont="1" applyBorder="1"/>
    <xf numFmtId="171" fontId="20" fillId="0" borderId="0" xfId="0" applyNumberFormat="1" applyFont="1" applyBorder="1"/>
    <xf numFmtId="172" fontId="23" fillId="0" borderId="0" xfId="2" applyNumberFormat="1" applyFont="1" applyBorder="1" applyProtection="1"/>
    <xf numFmtId="172" fontId="20" fillId="0" borderId="0" xfId="2" applyNumberFormat="1" applyFont="1" applyBorder="1"/>
    <xf numFmtId="44" fontId="20" fillId="0" borderId="0" xfId="2" applyFont="1" applyBorder="1"/>
    <xf numFmtId="172" fontId="15" fillId="0" borderId="0" xfId="2" applyNumberFormat="1" applyFont="1" applyBorder="1"/>
    <xf numFmtId="0" fontId="12" fillId="0" borderId="0" xfId="0" applyFont="1" applyBorder="1"/>
    <xf numFmtId="168" fontId="0" fillId="0" borderId="9" xfId="0" applyNumberFormat="1" applyBorder="1"/>
    <xf numFmtId="6" fontId="12" fillId="0" borderId="10" xfId="0" applyNumberFormat="1" applyFont="1" applyBorder="1"/>
    <xf numFmtId="172" fontId="20" fillId="0" borderId="10" xfId="0" applyNumberFormat="1" applyFont="1" applyBorder="1"/>
    <xf numFmtId="44" fontId="23" fillId="0" borderId="0" xfId="2" applyFont="1" applyBorder="1" applyProtection="1"/>
    <xf numFmtId="7" fontId="23" fillId="0" borderId="0" xfId="2" applyNumberFormat="1" applyFont="1" applyBorder="1" applyProtection="1"/>
    <xf numFmtId="8" fontId="0" fillId="0" borderId="0" xfId="0" applyNumberFormat="1"/>
    <xf numFmtId="6" fontId="5" fillId="0" borderId="0" xfId="0" applyNumberFormat="1" applyFont="1"/>
    <xf numFmtId="7" fontId="2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7" fontId="20" fillId="0" borderId="0" xfId="0" applyNumberFormat="1" applyFont="1" applyBorder="1"/>
    <xf numFmtId="168" fontId="20" fillId="0" borderId="0" xfId="0" applyNumberFormat="1" applyFont="1" applyBorder="1"/>
    <xf numFmtId="0" fontId="2" fillId="4" borderId="0" xfId="0" applyFont="1" applyFill="1"/>
    <xf numFmtId="0" fontId="5" fillId="4" borderId="0" xfId="0" applyFont="1" applyFill="1"/>
    <xf numFmtId="180" fontId="5" fillId="2" borderId="1" xfId="0" applyNumberFormat="1" applyFont="1" applyFill="1" applyBorder="1" applyProtection="1"/>
    <xf numFmtId="2" fontId="15" fillId="0" borderId="0" xfId="0" applyNumberFormat="1" applyFont="1" applyBorder="1"/>
    <xf numFmtId="8" fontId="2" fillId="4" borderId="0" xfId="4" applyNumberFormat="1" applyFont="1" applyFill="1"/>
    <xf numFmtId="0" fontId="6" fillId="4" borderId="0" xfId="0" applyFont="1" applyFill="1"/>
    <xf numFmtId="0" fontId="5" fillId="0" borderId="0" xfId="0" applyFont="1" applyAlignment="1" applyProtection="1">
      <alignment horizontal="center" vertical="center"/>
    </xf>
    <xf numFmtId="179" fontId="5" fillId="0" borderId="0" xfId="0" applyNumberFormat="1" applyFont="1" applyProtection="1"/>
    <xf numFmtId="168" fontId="2" fillId="3" borderId="0" xfId="0" applyNumberFormat="1" applyFont="1" applyFill="1" applyProtection="1"/>
    <xf numFmtId="43" fontId="0" fillId="0" borderId="0" xfId="0" applyNumberFormat="1" applyFill="1"/>
    <xf numFmtId="43" fontId="15" fillId="0" borderId="0" xfId="1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7" fontId="2" fillId="0" borderId="0" xfId="0" applyNumberFormat="1" applyFont="1" applyFill="1" applyProtection="1"/>
    <xf numFmtId="8" fontId="2" fillId="3" borderId="0" xfId="0" applyNumberFormat="1" applyFont="1" applyFill="1"/>
    <xf numFmtId="173" fontId="2" fillId="3" borderId="0" xfId="0" applyNumberFormat="1" applyFont="1" applyFill="1" applyProtection="1"/>
    <xf numFmtId="0" fontId="5" fillId="0" borderId="0" xfId="0" applyFont="1" applyFill="1"/>
    <xf numFmtId="0" fontId="0" fillId="0" borderId="0" xfId="0" applyFill="1" applyBorder="1"/>
    <xf numFmtId="7" fontId="2" fillId="3" borderId="0" xfId="0" quotePrefix="1" applyNumberFormat="1" applyFont="1" applyFill="1" applyAlignment="1">
      <alignment horizontal="center"/>
    </xf>
    <xf numFmtId="168" fontId="2" fillId="3" borderId="0" xfId="0" applyNumberFormat="1" applyFont="1" applyFill="1"/>
    <xf numFmtId="0" fontId="2" fillId="0" borderId="0" xfId="0" applyFont="1" applyFill="1" applyAlignment="1">
      <alignment horizontal="fill"/>
    </xf>
    <xf numFmtId="7" fontId="2" fillId="0" borderId="0" xfId="0" applyNumberFormat="1" applyFont="1" applyFill="1" applyAlignment="1" applyProtection="1">
      <alignment horizontal="right"/>
    </xf>
    <xf numFmtId="164" fontId="19" fillId="0" borderId="0" xfId="0" applyNumberFormat="1" applyFont="1" applyFill="1" applyProtection="1"/>
    <xf numFmtId="179" fontId="4" fillId="0" borderId="0" xfId="0" applyNumberFormat="1" applyFont="1" applyFill="1" applyBorder="1" applyProtection="1">
      <protection locked="0"/>
    </xf>
    <xf numFmtId="7" fontId="2" fillId="0" borderId="0" xfId="0" applyNumberFormat="1" applyFont="1" applyFill="1"/>
    <xf numFmtId="166" fontId="2" fillId="0" borderId="0" xfId="0" applyNumberFormat="1" applyFont="1" applyFill="1" applyProtection="1"/>
    <xf numFmtId="0" fontId="13" fillId="0" borderId="0" xfId="0" applyFont="1" applyFill="1" applyAlignment="1">
      <alignment horizontal="left"/>
    </xf>
    <xf numFmtId="5" fontId="0" fillId="0" borderId="0" xfId="0" applyNumberFormat="1" applyFill="1" applyProtection="1"/>
    <xf numFmtId="180" fontId="4" fillId="0" borderId="1" xfId="0" applyNumberFormat="1" applyFont="1" applyFill="1" applyBorder="1" applyProtection="1">
      <protection locked="0"/>
    </xf>
    <xf numFmtId="180" fontId="4" fillId="0" borderId="0" xfId="0" applyNumberFormat="1" applyFont="1" applyFill="1" applyBorder="1" applyProtection="1">
      <protection locked="0"/>
    </xf>
    <xf numFmtId="179" fontId="2" fillId="3" borderId="0" xfId="0" applyNumberFormat="1" applyFont="1" applyFill="1" applyBorder="1" applyProtection="1"/>
    <xf numFmtId="2" fontId="20" fillId="0" borderId="7" xfId="0" applyNumberFormat="1" applyFont="1" applyBorder="1"/>
    <xf numFmtId="7" fontId="6" fillId="0" borderId="0" xfId="4" applyNumberFormat="1" applyFont="1" applyBorder="1" applyProtection="1"/>
    <xf numFmtId="183" fontId="7" fillId="0" borderId="12" xfId="0" applyNumberFormat="1" applyFont="1" applyFill="1" applyBorder="1" applyAlignment="1" applyProtection="1">
      <alignment horizontal="left"/>
      <protection locked="0"/>
    </xf>
    <xf numFmtId="167" fontId="5" fillId="0" borderId="0" xfId="0" applyNumberFormat="1" applyFont="1"/>
    <xf numFmtId="43" fontId="5" fillId="0" borderId="0" xfId="0" applyNumberFormat="1" applyFont="1"/>
    <xf numFmtId="165" fontId="2" fillId="0" borderId="0" xfId="0" applyNumberFormat="1" applyFont="1" applyFill="1" applyBorder="1" applyProtection="1"/>
    <xf numFmtId="1" fontId="5" fillId="0" borderId="0" xfId="0" applyNumberFormat="1" applyFont="1" applyFill="1" applyBorder="1"/>
    <xf numFmtId="183" fontId="5" fillId="0" borderId="0" xfId="0" applyNumberFormat="1" applyFont="1"/>
    <xf numFmtId="2" fontId="5" fillId="0" borderId="0" xfId="0" applyNumberFormat="1" applyFont="1"/>
    <xf numFmtId="0" fontId="4" fillId="0" borderId="3" xfId="0" applyFont="1" applyFill="1" applyBorder="1" applyProtection="1">
      <protection locked="0"/>
    </xf>
    <xf numFmtId="5" fontId="5" fillId="0" borderId="0" xfId="0" applyNumberFormat="1" applyFont="1" applyProtection="1"/>
    <xf numFmtId="168" fontId="5" fillId="0" borderId="0" xfId="0" applyNumberFormat="1" applyFont="1"/>
    <xf numFmtId="0" fontId="15" fillId="0" borderId="0" xfId="0" applyFont="1" applyFill="1" applyBorder="1"/>
    <xf numFmtId="172" fontId="15" fillId="0" borderId="0" xfId="0" applyNumberFormat="1" applyFont="1"/>
    <xf numFmtId="5" fontId="5" fillId="0" borderId="0" xfId="0" applyNumberFormat="1" applyFont="1" applyFill="1"/>
    <xf numFmtId="181" fontId="5" fillId="0" borderId="0" xfId="0" applyNumberFormat="1" applyFont="1" applyFill="1"/>
    <xf numFmtId="5" fontId="5" fillId="0" borderId="0" xfId="0" applyNumberFormat="1" applyFont="1" applyFill="1" applyProtection="1"/>
    <xf numFmtId="6" fontId="5" fillId="0" borderId="0" xfId="0" applyNumberFormat="1" applyFont="1" applyFill="1"/>
    <xf numFmtId="175" fontId="0" fillId="0" borderId="0" xfId="0" applyNumberFormat="1"/>
    <xf numFmtId="175" fontId="5" fillId="0" borderId="0" xfId="1" applyNumberFormat="1" applyFont="1"/>
    <xf numFmtId="0" fontId="27" fillId="0" borderId="0" xfId="0" applyFont="1" applyBorder="1"/>
    <xf numFmtId="166" fontId="2" fillId="0" borderId="0" xfId="0" applyNumberFormat="1" applyFont="1" applyFill="1" applyBorder="1" applyProtection="1"/>
    <xf numFmtId="9" fontId="5" fillId="0" borderId="0" xfId="4" applyFont="1"/>
    <xf numFmtId="5" fontId="8" fillId="0" borderId="0" xfId="0" applyNumberFormat="1" applyFont="1" applyProtection="1"/>
    <xf numFmtId="0" fontId="5" fillId="0" borderId="0" xfId="0" applyFont="1" applyProtection="1"/>
    <xf numFmtId="0" fontId="5" fillId="0" borderId="0" xfId="0" applyFont="1" applyFill="1" applyBorder="1" applyProtection="1">
      <protection locked="0"/>
    </xf>
    <xf numFmtId="7" fontId="2" fillId="0" borderId="0" xfId="0" applyNumberFormat="1" applyFont="1" applyBorder="1" applyProtection="1"/>
    <xf numFmtId="166" fontId="28" fillId="3" borderId="0" xfId="0" applyNumberFormat="1" applyFont="1" applyFill="1"/>
    <xf numFmtId="0" fontId="5" fillId="0" borderId="0" xfId="0" applyFont="1" applyProtection="1">
      <protection locked="0"/>
    </xf>
    <xf numFmtId="184" fontId="15" fillId="0" borderId="0" xfId="0" applyNumberFormat="1" applyFont="1"/>
    <xf numFmtId="0" fontId="2" fillId="0" borderId="0" xfId="0" applyFont="1" applyFill="1" applyProtection="1"/>
    <xf numFmtId="0" fontId="4" fillId="0" borderId="0" xfId="0" applyFont="1" applyFill="1" applyAlignment="1" applyProtection="1">
      <alignment horizontal="center" vertical="center"/>
      <protection locked="0"/>
    </xf>
    <xf numFmtId="166" fontId="28" fillId="0" borderId="0" xfId="0" applyNumberFormat="1" applyFont="1" applyFill="1"/>
    <xf numFmtId="184" fontId="15" fillId="0" borderId="0" xfId="0" applyNumberFormat="1" applyFont="1" applyFill="1"/>
    <xf numFmtId="8" fontId="4" fillId="0" borderId="1" xfId="0" applyNumberFormat="1" applyFont="1" applyBorder="1" applyProtection="1">
      <protection locked="0"/>
    </xf>
    <xf numFmtId="1" fontId="6" fillId="0" borderId="0" xfId="0" applyNumberFormat="1" applyFont="1" applyBorder="1" applyProtection="1"/>
    <xf numFmtId="168" fontId="5" fillId="0" borderId="7" xfId="0" applyNumberFormat="1" applyFont="1" applyBorder="1"/>
    <xf numFmtId="10" fontId="5" fillId="0" borderId="7" xfId="4" applyNumberFormat="1" applyFont="1" applyBorder="1" applyProtection="1"/>
    <xf numFmtId="184" fontId="6" fillId="0" borderId="0" xfId="0" applyNumberFormat="1" applyFont="1" applyBorder="1" applyProtection="1"/>
    <xf numFmtId="0" fontId="27" fillId="0" borderId="3" xfId="0" applyFont="1" applyBorder="1" applyProtection="1">
      <protection locked="0"/>
    </xf>
    <xf numFmtId="0" fontId="20" fillId="0" borderId="5" xfId="0" applyFont="1" applyBorder="1"/>
    <xf numFmtId="166" fontId="15" fillId="0" borderId="0" xfId="0" applyNumberFormat="1" applyFont="1" applyBorder="1"/>
    <xf numFmtId="2" fontId="20" fillId="0" borderId="0" xfId="0" applyNumberFormat="1" applyFont="1" applyBorder="1"/>
    <xf numFmtId="176" fontId="15" fillId="0" borderId="0" xfId="0" applyNumberFormat="1" applyFont="1" applyBorder="1"/>
    <xf numFmtId="176" fontId="15" fillId="0" borderId="0" xfId="1" applyNumberFormat="1" applyFont="1" applyBorder="1" applyProtection="1"/>
    <xf numFmtId="0" fontId="20" fillId="0" borderId="0" xfId="0" applyFont="1" applyBorder="1" applyAlignment="1">
      <alignment horizontal="center"/>
    </xf>
    <xf numFmtId="176" fontId="15" fillId="0" borderId="10" xfId="0" applyNumberFormat="1" applyFont="1" applyBorder="1" applyProtection="1"/>
    <xf numFmtId="7" fontId="5" fillId="0" borderId="0" xfId="0" applyNumberFormat="1" applyFont="1" applyProtection="1"/>
    <xf numFmtId="14" fontId="27" fillId="0" borderId="0" xfId="0" applyNumberFormat="1" applyFont="1" applyProtection="1">
      <protection locked="0"/>
    </xf>
    <xf numFmtId="2" fontId="6" fillId="0" borderId="0" xfId="0" applyNumberFormat="1" applyFont="1"/>
    <xf numFmtId="172" fontId="2" fillId="3" borderId="0" xfId="0" applyNumberFormat="1" applyFont="1" applyFill="1" applyProtection="1"/>
    <xf numFmtId="1" fontId="2" fillId="0" borderId="0" xfId="0" applyNumberFormat="1" applyFont="1"/>
    <xf numFmtId="184" fontId="22" fillId="0" borderId="0" xfId="4" applyNumberFormat="1" applyFont="1"/>
    <xf numFmtId="168" fontId="15" fillId="0" borderId="0" xfId="2" applyNumberFormat="1" applyFont="1" applyBorder="1" applyProtection="1"/>
    <xf numFmtId="168" fontId="15" fillId="0" borderId="0" xfId="0" applyNumberFormat="1" applyFont="1" applyBorder="1"/>
    <xf numFmtId="2" fontId="24" fillId="0" borderId="0" xfId="0" applyNumberFormat="1" applyFont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3" fillId="0" borderId="0" xfId="0" applyFont="1" applyFill="1"/>
    <xf numFmtId="167" fontId="5" fillId="0" borderId="0" xfId="0" applyNumberFormat="1" applyFont="1" applyAlignment="1">
      <alignment horizontal="left"/>
    </xf>
    <xf numFmtId="7" fontId="5" fillId="0" borderId="1" xfId="0" applyNumberFormat="1" applyFont="1" applyBorder="1" applyProtection="1"/>
    <xf numFmtId="178" fontId="4" fillId="3" borderId="1" xfId="0" applyNumberFormat="1" applyFont="1" applyFill="1" applyBorder="1" applyProtection="1">
      <protection locked="0"/>
    </xf>
    <xf numFmtId="7" fontId="5" fillId="0" borderId="10" xfId="0" applyNumberFormat="1" applyFont="1" applyBorder="1" applyProtection="1"/>
    <xf numFmtId="172" fontId="2" fillId="3" borderId="0" xfId="0" applyNumberFormat="1" applyFont="1" applyFill="1"/>
    <xf numFmtId="7" fontId="2" fillId="3" borderId="0" xfId="0" applyNumberFormat="1" applyFont="1" applyFill="1" applyBorder="1" applyProtection="1"/>
    <xf numFmtId="175" fontId="5" fillId="0" borderId="1" xfId="1" applyNumberFormat="1" applyFont="1" applyBorder="1" applyProtection="1"/>
    <xf numFmtId="0" fontId="20" fillId="0" borderId="0" xfId="0" applyFont="1" applyFill="1" applyBorder="1"/>
    <xf numFmtId="2" fontId="2" fillId="0" borderId="0" xfId="0" applyNumberFormat="1" applyFont="1"/>
    <xf numFmtId="39" fontId="5" fillId="0" borderId="0" xfId="0" applyNumberFormat="1" applyFont="1"/>
    <xf numFmtId="10" fontId="2" fillId="3" borderId="0" xfId="4" applyNumberFormat="1" applyFont="1" applyFill="1" applyBorder="1" applyProtection="1"/>
    <xf numFmtId="10" fontId="2" fillId="3" borderId="0" xfId="4" applyNumberFormat="1" applyFont="1" applyFill="1"/>
    <xf numFmtId="10" fontId="2" fillId="3" borderId="0" xfId="4" applyNumberFormat="1" applyFont="1" applyFill="1" applyProtection="1"/>
    <xf numFmtId="9" fontId="2" fillId="3" borderId="0" xfId="4" applyFont="1" applyFill="1"/>
    <xf numFmtId="7" fontId="2" fillId="0" borderId="0" xfId="4" applyNumberFormat="1" applyFont="1" applyBorder="1" applyProtection="1"/>
    <xf numFmtId="185" fontId="6" fillId="0" borderId="0" xfId="0" applyNumberFormat="1" applyFont="1"/>
    <xf numFmtId="10" fontId="6" fillId="0" borderId="0" xfId="4" applyNumberFormat="1" applyFont="1" applyBorder="1" applyProtection="1"/>
    <xf numFmtId="9" fontId="5" fillId="0" borderId="0" xfId="4" applyFont="1" applyBorder="1" applyProtection="1"/>
    <xf numFmtId="183" fontId="6" fillId="0" borderId="0" xfId="0" applyNumberFormat="1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9" fontId="7" fillId="0" borderId="3" xfId="0" applyNumberFormat="1" applyFont="1" applyFill="1" applyBorder="1" applyAlignment="1" applyProtection="1">
      <alignment horizontal="left"/>
      <protection locked="0"/>
    </xf>
    <xf numFmtId="9" fontId="6" fillId="0" borderId="0" xfId="0" applyNumberFormat="1" applyFont="1" applyBorder="1" applyProtection="1"/>
    <xf numFmtId="8" fontId="31" fillId="0" borderId="3" xfId="0" applyNumberFormat="1" applyFont="1" applyBorder="1" applyProtection="1">
      <protection locked="0"/>
    </xf>
    <xf numFmtId="7" fontId="12" fillId="0" borderId="0" xfId="0" applyNumberFormat="1" applyFont="1"/>
    <xf numFmtId="5" fontId="0" fillId="0" borderId="0" xfId="0" applyNumberFormat="1"/>
    <xf numFmtId="168" fontId="12" fillId="0" borderId="0" xfId="0" applyNumberFormat="1" applyFont="1"/>
    <xf numFmtId="167" fontId="15" fillId="0" borderId="8" xfId="0" applyNumberFormat="1" applyFont="1" applyBorder="1"/>
    <xf numFmtId="175" fontId="5" fillId="0" borderId="0" xfId="1" applyNumberFormat="1" applyFont="1" applyFill="1" applyProtection="1"/>
    <xf numFmtId="166" fontId="5" fillId="0" borderId="0" xfId="0" applyNumberFormat="1" applyFont="1" applyFill="1" applyProtection="1"/>
    <xf numFmtId="175" fontId="2" fillId="0" borderId="0" xfId="0" applyNumberFormat="1" applyFont="1"/>
    <xf numFmtId="2" fontId="0" fillId="0" borderId="0" xfId="1" applyNumberFormat="1" applyFont="1"/>
    <xf numFmtId="1" fontId="13" fillId="0" borderId="0" xfId="0" applyNumberFormat="1" applyFont="1" applyFill="1" applyAlignment="1" applyProtection="1">
      <alignment horizontal="right"/>
    </xf>
    <xf numFmtId="5" fontId="13" fillId="0" borderId="0" xfId="0" applyNumberFormat="1" applyFont="1" applyFill="1" applyAlignment="1" applyProtection="1">
      <alignment horizontal="right"/>
    </xf>
    <xf numFmtId="5" fontId="0" fillId="0" borderId="0" xfId="0" applyNumberFormat="1" applyFill="1"/>
    <xf numFmtId="170" fontId="5" fillId="0" borderId="0" xfId="0" applyNumberFormat="1" applyFont="1"/>
    <xf numFmtId="170" fontId="2" fillId="3" borderId="0" xfId="0" applyNumberFormat="1" applyFont="1" applyFill="1"/>
    <xf numFmtId="171" fontId="29" fillId="0" borderId="0" xfId="0" applyNumberFormat="1" applyFont="1"/>
    <xf numFmtId="172" fontId="5" fillId="0" borderId="13" xfId="0" applyNumberFormat="1" applyFont="1" applyBorder="1" applyProtection="1"/>
    <xf numFmtId="0" fontId="0" fillId="0" borderId="0" xfId="0" applyAlignment="1">
      <alignment horizontal="center"/>
    </xf>
    <xf numFmtId="0" fontId="7" fillId="0" borderId="14" xfId="0" applyFont="1" applyBorder="1" applyAlignment="1" applyProtection="1">
      <alignment horizontal="left"/>
      <protection locked="0"/>
    </xf>
    <xf numFmtId="165" fontId="4" fillId="2" borderId="12" xfId="0" applyNumberFormat="1" applyFont="1" applyFill="1" applyBorder="1" applyProtection="1">
      <protection locked="0"/>
    </xf>
    <xf numFmtId="15" fontId="6" fillId="0" borderId="0" xfId="0" applyNumberFormat="1" applyFont="1" applyBorder="1" applyProtection="1"/>
    <xf numFmtId="8" fontId="6" fillId="3" borderId="0" xfId="0" applyNumberFormat="1" applyFont="1" applyFill="1" applyBorder="1" applyProtection="1"/>
    <xf numFmtId="1" fontId="6" fillId="0" borderId="0" xfId="0" applyNumberFormat="1" applyFont="1" applyBorder="1" applyAlignment="1" applyProtection="1">
      <alignment horizontal="left"/>
    </xf>
    <xf numFmtId="7" fontId="5" fillId="3" borderId="0" xfId="0" applyNumberFormat="1" applyFont="1" applyFill="1" applyBorder="1" applyProtection="1"/>
    <xf numFmtId="8" fontId="2" fillId="0" borderId="0" xfId="4" applyNumberFormat="1" applyFont="1" applyBorder="1" applyProtection="1"/>
    <xf numFmtId="0" fontId="2" fillId="3" borderId="0" xfId="0" applyFont="1" applyFill="1" applyAlignment="1">
      <alignment horizontal="left"/>
    </xf>
    <xf numFmtId="8" fontId="2" fillId="3" borderId="0" xfId="0" applyNumberFormat="1" applyFont="1" applyFill="1" applyBorder="1" applyProtection="1"/>
    <xf numFmtId="170" fontId="15" fillId="0" borderId="0" xfId="0" applyNumberFormat="1" applyFont="1" applyFill="1"/>
    <xf numFmtId="7" fontId="2" fillId="0" borderId="0" xfId="0" applyNumberFormat="1" applyFont="1" applyFill="1" applyBorder="1" applyProtection="1"/>
    <xf numFmtId="170" fontId="2" fillId="0" borderId="0" xfId="0" applyNumberFormat="1" applyFont="1"/>
    <xf numFmtId="0" fontId="8" fillId="0" borderId="0" xfId="0" applyFont="1" applyAlignment="1">
      <alignment horizontal="right"/>
    </xf>
    <xf numFmtId="7" fontId="0" fillId="0" borderId="0" xfId="0" applyNumberFormat="1" applyAlignment="1">
      <alignment horizontal="left"/>
    </xf>
    <xf numFmtId="5" fontId="0" fillId="0" borderId="0" xfId="0" applyNumberFormat="1" applyAlignment="1">
      <alignment horizontal="left"/>
    </xf>
    <xf numFmtId="172" fontId="5" fillId="0" borderId="0" xfId="0" applyNumberFormat="1" applyFont="1"/>
    <xf numFmtId="172" fontId="2" fillId="0" borderId="0" xfId="0" applyNumberFormat="1" applyFont="1"/>
    <xf numFmtId="0" fontId="31" fillId="0" borderId="0" xfId="0" applyFont="1" applyProtection="1">
      <protection locked="0"/>
    </xf>
    <xf numFmtId="14" fontId="0" fillId="0" borderId="0" xfId="0" applyNumberFormat="1" applyAlignment="1">
      <alignment horizontal="left"/>
    </xf>
    <xf numFmtId="168" fontId="2" fillId="3" borderId="0" xfId="4" applyNumberFormat="1" applyFont="1" applyFill="1" applyBorder="1" applyProtection="1"/>
    <xf numFmtId="14" fontId="31" fillId="0" borderId="0" xfId="0" applyNumberFormat="1" applyFont="1" applyProtection="1">
      <protection locked="0"/>
    </xf>
    <xf numFmtId="0" fontId="32" fillId="0" borderId="3" xfId="0" applyFont="1" applyFill="1" applyBorder="1" applyAlignment="1" applyProtection="1">
      <alignment horizontal="left"/>
      <protection locked="0"/>
    </xf>
    <xf numFmtId="0" fontId="2" fillId="5" borderId="0" xfId="0" applyFont="1" applyFill="1"/>
    <xf numFmtId="0" fontId="13" fillId="5" borderId="0" xfId="0" applyFont="1" applyFill="1"/>
    <xf numFmtId="0" fontId="25" fillId="5" borderId="0" xfId="0" applyFont="1" applyFill="1"/>
    <xf numFmtId="0" fontId="0" fillId="5" borderId="0" xfId="0" applyFill="1"/>
    <xf numFmtId="0" fontId="13" fillId="5" borderId="0" xfId="0" applyFont="1" applyFill="1" applyAlignment="1">
      <alignment horizontal="center"/>
    </xf>
    <xf numFmtId="7" fontId="13" fillId="5" borderId="0" xfId="0" applyNumberFormat="1" applyFont="1" applyFill="1" applyAlignment="1" applyProtection="1">
      <alignment horizontal="right"/>
    </xf>
    <xf numFmtId="0" fontId="32" fillId="0" borderId="3" xfId="0" applyFont="1" applyBorder="1" applyAlignment="1" applyProtection="1">
      <alignment horizontal="left"/>
      <protection locked="0"/>
    </xf>
    <xf numFmtId="15" fontId="32" fillId="0" borderId="3" xfId="0" applyNumberFormat="1" applyFont="1" applyBorder="1" applyAlignment="1" applyProtection="1">
      <protection locked="0"/>
    </xf>
    <xf numFmtId="7" fontId="33" fillId="0" borderId="0" xfId="0" applyNumberFormat="1" applyFont="1"/>
    <xf numFmtId="7" fontId="34" fillId="0" borderId="0" xfId="0" applyNumberFormat="1" applyFont="1"/>
    <xf numFmtId="7" fontId="8" fillId="0" borderId="0" xfId="0" applyNumberFormat="1" applyFont="1"/>
    <xf numFmtId="165" fontId="4" fillId="2" borderId="3" xfId="0" applyNumberFormat="1" applyFont="1" applyFill="1" applyBorder="1" applyProtection="1">
      <protection locked="0"/>
    </xf>
    <xf numFmtId="0" fontId="5" fillId="0" borderId="0" xfId="0" applyFont="1" applyFill="1" applyBorder="1" applyAlignment="1">
      <alignment horizontal="right"/>
    </xf>
    <xf numFmtId="165" fontId="5" fillId="0" borderId="0" xfId="0" applyNumberFormat="1" applyFont="1"/>
    <xf numFmtId="2" fontId="6" fillId="0" borderId="0" xfId="0" applyNumberFormat="1" applyFont="1" applyProtection="1"/>
    <xf numFmtId="0" fontId="5" fillId="0" borderId="0" xfId="0" applyFont="1" applyAlignment="1">
      <alignment horizontal="center"/>
    </xf>
    <xf numFmtId="7" fontId="32" fillId="0" borderId="1" xfId="0" applyNumberFormat="1" applyFont="1" applyBorder="1" applyProtection="1">
      <protection locked="0"/>
    </xf>
    <xf numFmtId="14" fontId="32" fillId="0" borderId="1" xfId="0" applyNumberFormat="1" applyFont="1" applyBorder="1" applyProtection="1">
      <protection locked="0"/>
    </xf>
    <xf numFmtId="0" fontId="35" fillId="0" borderId="0" xfId="0" applyFont="1" applyProtection="1">
      <protection locked="0"/>
    </xf>
    <xf numFmtId="14" fontId="32" fillId="0" borderId="0" xfId="0" applyNumberFormat="1" applyFont="1" applyProtection="1">
      <protection locked="0"/>
    </xf>
    <xf numFmtId="7" fontId="32" fillId="0" borderId="3" xfId="0" applyNumberFormat="1" applyFont="1" applyBorder="1" applyProtection="1">
      <protection locked="0"/>
    </xf>
    <xf numFmtId="5" fontId="20" fillId="0" borderId="0" xfId="0" applyNumberFormat="1" applyFont="1" applyProtection="1"/>
    <xf numFmtId="7" fontId="5" fillId="0" borderId="0" xfId="0" applyNumberFormat="1" applyFont="1" applyBorder="1" applyProtection="1"/>
    <xf numFmtId="0" fontId="13" fillId="0" borderId="0" xfId="0" applyFont="1" applyAlignment="1">
      <alignment horizontal="center"/>
    </xf>
    <xf numFmtId="5" fontId="5" fillId="0" borderId="0" xfId="0" applyNumberFormat="1" applyFont="1" applyFill="1" applyAlignment="1" applyProtection="1">
      <alignment horizontal="center"/>
    </xf>
    <xf numFmtId="9" fontId="15" fillId="0" borderId="0" xfId="0" applyNumberFormat="1" applyFont="1"/>
    <xf numFmtId="5" fontId="2" fillId="5" borderId="0" xfId="0" applyNumberFormat="1" applyFont="1" applyFill="1"/>
    <xf numFmtId="184" fontId="15" fillId="5" borderId="0" xfId="0" applyNumberFormat="1" applyFont="1" applyFill="1"/>
    <xf numFmtId="184" fontId="20" fillId="5" borderId="0" xfId="0" applyNumberFormat="1" applyFont="1" applyFill="1"/>
    <xf numFmtId="37" fontId="4" fillId="0" borderId="1" xfId="1" applyNumberFormat="1" applyFont="1" applyBorder="1" applyProtection="1">
      <protection locked="0"/>
    </xf>
    <xf numFmtId="0" fontId="6" fillId="0" borderId="0" xfId="0" applyFont="1" applyFill="1" applyAlignment="1">
      <alignment horizontal="left"/>
    </xf>
    <xf numFmtId="167" fontId="7" fillId="0" borderId="3" xfId="0" applyNumberFormat="1" applyFont="1" applyBorder="1" applyAlignment="1" applyProtection="1">
      <alignment horizontal="right"/>
      <protection locked="0"/>
    </xf>
    <xf numFmtId="10" fontId="2" fillId="0" borderId="0" xfId="4" applyNumberFormat="1" applyFont="1" applyProtection="1"/>
    <xf numFmtId="170" fontId="12" fillId="0" borderId="0" xfId="0" applyNumberFormat="1" applyFont="1" applyBorder="1"/>
    <xf numFmtId="10" fontId="15" fillId="0" borderId="0" xfId="0" applyNumberFormat="1" applyFont="1" applyBorder="1"/>
    <xf numFmtId="6" fontId="0" fillId="0" borderId="0" xfId="0" applyNumberFormat="1"/>
    <xf numFmtId="176" fontId="20" fillId="0" borderId="7" xfId="0" applyNumberFormat="1" applyFont="1" applyBorder="1"/>
    <xf numFmtId="10" fontId="20" fillId="0" borderId="7" xfId="4" applyNumberFormat="1" applyFont="1" applyBorder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35" fillId="0" borderId="15" xfId="0" applyFont="1" applyBorder="1" applyAlignment="1" applyProtection="1">
      <alignment horizontal="left"/>
      <protection locked="0"/>
    </xf>
    <xf numFmtId="0" fontId="32" fillId="0" borderId="16" xfId="0" applyFont="1" applyBorder="1" applyAlignment="1" applyProtection="1">
      <alignment horizontal="left"/>
      <protection locked="0"/>
    </xf>
    <xf numFmtId="0" fontId="32" fillId="0" borderId="17" xfId="0" applyFont="1" applyBorder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Sheet1" xfId="3" xr:uid="{00000000-0005-0000-0000-000003000000}"/>
    <cellStyle name="Percent" xfId="4" builtinId="5"/>
  </cellStyles>
  <dxfs count="0"/>
  <tableStyles count="0" defaultTableStyle="TableStyleMedium9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 Unit Cost (TUC) - Variable Corn Price With Feeders at Base Price - $/Cwt.* 
</a:t>
            </a:r>
          </a:p>
        </c:rich>
      </c:tx>
      <c:layout>
        <c:manualLayout>
          <c:xMode val="edge"/>
          <c:yMode val="edge"/>
          <c:x val="0.16199532989410806"/>
          <c:y val="1.36053325815091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4538431658699"/>
          <c:y val="0.11533365147538376"/>
          <c:w val="0.89585463795247011"/>
          <c:h val="0.721537160796076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Cost Sensitivity Analysis'!$B$67</c:f>
              <c:strCache>
                <c:ptCount val="1"/>
                <c:pt idx="0">
                  <c:v>TUC</c:v>
                </c:pt>
              </c:strCache>
            </c:strRef>
          </c:tx>
          <c:invertIfNegative val="0"/>
          <c:cat>
            <c:numRef>
              <c:f>'2. Cost Sensitivity Analysis'!$C$66:$G$66</c:f>
              <c:numCache>
                <c:formatCode>"$"#,##0.00_);\("$"#,##0.00\)</c:formatCode>
                <c:ptCount val="5"/>
                <c:pt idx="0">
                  <c:v>6.5</c:v>
                </c:pt>
                <c:pt idx="1">
                  <c:v>7</c:v>
                </c:pt>
                <c:pt idx="2">
                  <c:v>7.5</c:v>
                </c:pt>
                <c:pt idx="3">
                  <c:v>8</c:v>
                </c:pt>
                <c:pt idx="4">
                  <c:v>8.5</c:v>
                </c:pt>
              </c:numCache>
            </c:numRef>
          </c:cat>
          <c:val>
            <c:numRef>
              <c:f>'2. Cost Sensitivity Analysis'!$C$67:$G$67</c:f>
              <c:numCache>
                <c:formatCode>"$"#,##0_);\("$"#,##0\)</c:formatCode>
                <c:ptCount val="5"/>
                <c:pt idx="0">
                  <c:v>140.7511985466584</c:v>
                </c:pt>
                <c:pt idx="1">
                  <c:v>144.56318025918634</c:v>
                </c:pt>
                <c:pt idx="2">
                  <c:v>147.76912109411347</c:v>
                </c:pt>
                <c:pt idx="3">
                  <c:v>150.97506192904061</c:v>
                </c:pt>
                <c:pt idx="4">
                  <c:v>154.18100276396771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F-4A4A-BF83-5EEF01B0F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58216"/>
        <c:axId val="207495720"/>
      </c:barChart>
      <c:catAx>
        <c:axId val="253158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Corn Price $/Bu.
</a:t>
                </a:r>
              </a:p>
            </c:rich>
          </c:tx>
          <c:layout>
            <c:manualLayout>
              <c:xMode val="edge"/>
              <c:yMode val="edge"/>
              <c:x val="0.49114135215856641"/>
              <c:y val="0.8956180733162829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_);\(&quot;$&quot;#,##0.0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7495720"/>
        <c:crosses val="autoZero"/>
        <c:auto val="1"/>
        <c:lblAlgn val="ctr"/>
        <c:lblOffset val="100"/>
        <c:noMultiLvlLbl val="0"/>
      </c:catAx>
      <c:valAx>
        <c:axId val="20749572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$/Cwt.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&quot;$&quot;#,##0_);\(&quot;$&quot;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31582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Projected Finishing Costs</a:t>
            </a:r>
          </a:p>
        </c:rich>
      </c:tx>
      <c:layout>
        <c:manualLayout>
          <c:xMode val="edge"/>
          <c:yMode val="edge"/>
          <c:x val="0.36004535897101259"/>
          <c:y val="2.98804780876494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1671983938514"/>
          <c:y val="0.32470151104713085"/>
          <c:w val="0.2663658352837957"/>
          <c:h val="0.47011997918480297"/>
        </c:manualLayout>
      </c:layout>
      <c:pieChart>
        <c:varyColors val="1"/>
        <c:ser>
          <c:idx val="0"/>
          <c:order val="0"/>
          <c:tx>
            <c:strRef>
              <c:f>'4. Graphs'!$J$34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3C-4D5E-A130-C804533779F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23C-4D5E-A130-C804533779F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23C-4D5E-A130-C804533779F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23C-4D5E-A130-C804533779F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23C-4D5E-A130-C804533779F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E23C-4D5E-A130-C804533779F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'4. Graphs'!$I$35:$I$40</c:f>
              <c:strCache>
                <c:ptCount val="6"/>
                <c:pt idx="0">
                  <c:v>Feeder Cattle</c:v>
                </c:pt>
                <c:pt idx="1">
                  <c:v>Feed &amp; Yardage</c:v>
                </c:pt>
                <c:pt idx="2">
                  <c:v>Process,Vet Med.</c:v>
                </c:pt>
                <c:pt idx="3">
                  <c:v>Other</c:v>
                </c:pt>
                <c:pt idx="4">
                  <c:v>G&amp;A</c:v>
                </c:pt>
                <c:pt idx="5">
                  <c:v>Interest</c:v>
                </c:pt>
              </c:strCache>
            </c:strRef>
          </c:cat>
          <c:val>
            <c:numRef>
              <c:f>'4. Graphs'!$J$35:$J$40</c:f>
              <c:numCache>
                <c:formatCode>"$"#,##0_);\("$"#,##0\)</c:formatCode>
                <c:ptCount val="6"/>
                <c:pt idx="0">
                  <c:v>124016.32653061225</c:v>
                </c:pt>
                <c:pt idx="1">
                  <c:v>67358.567999999999</c:v>
                </c:pt>
                <c:pt idx="2">
                  <c:v>2000</c:v>
                </c:pt>
                <c:pt idx="3">
                  <c:v>500</c:v>
                </c:pt>
                <c:pt idx="4">
                  <c:v>2500</c:v>
                </c:pt>
                <c:pt idx="5">
                  <c:v>1086.2579070226448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3C-4D5E-A130-C80453377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4972375690608"/>
          <c:y val="0.39840637450199201"/>
          <c:w val="0.27845303867403315"/>
          <c:h val="0.326693227091633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Finishing Margins $/Head</a:t>
            </a:r>
          </a:p>
        </c:rich>
      </c:tx>
      <c:layout>
        <c:manualLayout>
          <c:xMode val="edge"/>
          <c:yMode val="edge"/>
          <c:x val="0.35340929992204811"/>
          <c:y val="3.2911392405063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6370509127813"/>
          <c:y val="0.18227848101265823"/>
          <c:w val="0.8704550284396243"/>
          <c:h val="0.630379746835443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Graphs'!$F$33</c:f>
              <c:strCache>
                <c:ptCount val="1"/>
                <c:pt idx="0">
                  <c:v>$/Head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'4. Graphs'!$B$34:$E$36</c:f>
              <c:strCache>
                <c:ptCount val="3"/>
                <c:pt idx="0">
                  <c:v>Marketing Margin</c:v>
                </c:pt>
                <c:pt idx="1">
                  <c:v>Feeding Margin</c:v>
                </c:pt>
                <c:pt idx="2">
                  <c:v>Net Margin</c:v>
                </c:pt>
              </c:strCache>
            </c:strRef>
          </c:cat>
          <c:val>
            <c:numRef>
              <c:f>'4. Graphs'!$F$34:$F$36</c:f>
              <c:numCache>
                <c:formatCode>"$"#,##0.00_);[Red]\("$"#,##0.00\)</c:formatCode>
                <c:ptCount val="3"/>
                <c:pt idx="0">
                  <c:v>-94.819220063838344</c:v>
                </c:pt>
                <c:pt idx="1">
                  <c:v>108.5661247341932</c:v>
                </c:pt>
                <c:pt idx="2">
                  <c:v>13.746904670354818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10-4CE7-A12B-906AFF26F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95328"/>
        <c:axId val="207496504"/>
      </c:barChart>
      <c:catAx>
        <c:axId val="20749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96504"/>
        <c:crosses val="autoZero"/>
        <c:auto val="1"/>
        <c:lblAlgn val="ctr"/>
        <c:lblOffset val="100"/>
        <c:tickMarkSkip val="1"/>
        <c:noMultiLvlLbl val="0"/>
      </c:catAx>
      <c:valAx>
        <c:axId val="207496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[Red]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95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0</xdr:row>
      <xdr:rowOff>92529</xdr:rowOff>
    </xdr:from>
    <xdr:to>
      <xdr:col>8</xdr:col>
      <xdr:colOff>1807028</xdr:colOff>
      <xdr:row>2</xdr:row>
      <xdr:rowOff>152400</xdr:rowOff>
    </xdr:to>
    <xdr:pic>
      <xdr:nvPicPr>
        <xdr:cNvPr id="3" name="Picture 2" descr="TAMAgEX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3957" y="92529"/>
          <a:ext cx="1654628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39</xdr:row>
      <xdr:rowOff>171450</xdr:rowOff>
    </xdr:from>
    <xdr:to>
      <xdr:col>6</xdr:col>
      <xdr:colOff>904875</xdr:colOff>
      <xdr:row>62</xdr:row>
      <xdr:rowOff>133350</xdr:rowOff>
    </xdr:to>
    <xdr:graphicFrame macro="">
      <xdr:nvGraphicFramePr>
        <xdr:cNvPr id="263286" name="Chart 2">
          <a:extLst>
            <a:ext uri="{FF2B5EF4-FFF2-40B4-BE49-F238E27FC236}">
              <a16:creationId xmlns:a16="http://schemas.microsoft.com/office/drawing/2014/main" id="{00000000-0008-0000-0100-00007604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38100</xdr:rowOff>
    </xdr:from>
    <xdr:to>
      <xdr:col>11</xdr:col>
      <xdr:colOff>771525</xdr:colOff>
      <xdr:row>30</xdr:row>
      <xdr:rowOff>123825</xdr:rowOff>
    </xdr:to>
    <xdr:graphicFrame macro="">
      <xdr:nvGraphicFramePr>
        <xdr:cNvPr id="1156170" name="Chart 4">
          <a:extLst>
            <a:ext uri="{FF2B5EF4-FFF2-40B4-BE49-F238E27FC236}">
              <a16:creationId xmlns:a16="http://schemas.microsoft.com/office/drawing/2014/main" id="{00000000-0008-0000-0300-00004AA4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46</xdr:row>
      <xdr:rowOff>38100</xdr:rowOff>
    </xdr:from>
    <xdr:to>
      <xdr:col>11</xdr:col>
      <xdr:colOff>733425</xdr:colOff>
      <xdr:row>69</xdr:row>
      <xdr:rowOff>76200</xdr:rowOff>
    </xdr:to>
    <xdr:graphicFrame macro="">
      <xdr:nvGraphicFramePr>
        <xdr:cNvPr id="1156171" name="Chart 5">
          <a:extLst>
            <a:ext uri="{FF2B5EF4-FFF2-40B4-BE49-F238E27FC236}">
              <a16:creationId xmlns:a16="http://schemas.microsoft.com/office/drawing/2014/main" id="{00000000-0008-0000-0300-00004BA4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Z134"/>
  <sheetViews>
    <sheetView tabSelected="1" topLeftCell="A65" zoomScaleNormal="100" zoomScaleSheetLayoutView="100" workbookViewId="0">
      <selection activeCell="A9" sqref="A9"/>
    </sheetView>
  </sheetViews>
  <sheetFormatPr defaultRowHeight="12.45" x14ac:dyDescent="0.3"/>
  <cols>
    <col min="1" max="1" width="4.84375" customWidth="1"/>
    <col min="2" max="2" width="56.23046875" customWidth="1"/>
    <col min="3" max="3" width="12.69140625" customWidth="1"/>
    <col min="4" max="4" width="15" customWidth="1"/>
    <col min="5" max="5" width="15.4609375" customWidth="1"/>
    <col min="6" max="6" width="16.61328125" customWidth="1"/>
    <col min="7" max="7" width="8.4609375" customWidth="1"/>
    <col min="8" max="8" width="14.15234375" customWidth="1"/>
    <col min="9" max="9" width="25.69140625" customWidth="1"/>
    <col min="10" max="11" width="15.4609375" customWidth="1"/>
    <col min="12" max="12" width="16.23046875" customWidth="1"/>
    <col min="13" max="13" width="15.23046875" customWidth="1"/>
    <col min="14" max="14" width="16.23046875" customWidth="1"/>
    <col min="15" max="15" width="15.15234375" customWidth="1"/>
    <col min="16" max="16" width="12.84375" customWidth="1"/>
    <col min="17" max="17" width="13.23046875" customWidth="1"/>
    <col min="19" max="19" width="12.69140625" bestFit="1" customWidth="1"/>
    <col min="21" max="21" width="14.69140625" customWidth="1"/>
  </cols>
  <sheetData>
    <row r="1" spans="2:15" ht="17.600000000000001" x14ac:dyDescent="0.4">
      <c r="B1" s="422" t="s">
        <v>355</v>
      </c>
      <c r="C1" s="422"/>
      <c r="D1" s="422"/>
      <c r="E1" s="422"/>
      <c r="F1" s="422"/>
      <c r="G1" s="423"/>
      <c r="H1" s="101"/>
      <c r="I1" s="101"/>
    </row>
    <row r="2" spans="2:15" ht="15" customHeight="1" x14ac:dyDescent="0.4">
      <c r="C2" s="401"/>
      <c r="D2" s="401"/>
      <c r="E2" s="401"/>
      <c r="F2" s="401"/>
      <c r="G2" s="401"/>
      <c r="I2" s="401"/>
    </row>
    <row r="3" spans="2:15" x14ac:dyDescent="0.3">
      <c r="K3" s="54"/>
    </row>
    <row r="4" spans="2:15" ht="15" x14ac:dyDescent="0.35">
      <c r="B4" s="408" t="s">
        <v>97</v>
      </c>
      <c r="C4" s="81"/>
      <c r="D4" s="81"/>
      <c r="E4" s="8" t="s">
        <v>0</v>
      </c>
      <c r="H4" s="24" t="s">
        <v>329</v>
      </c>
      <c r="I4" s="374">
        <v>44663</v>
      </c>
    </row>
    <row r="5" spans="2:15" ht="15" x14ac:dyDescent="0.35">
      <c r="B5" s="266" t="s">
        <v>364</v>
      </c>
      <c r="C5" s="282" t="s">
        <v>237</v>
      </c>
      <c r="D5" s="132">
        <v>20</v>
      </c>
      <c r="E5" s="385">
        <v>44663</v>
      </c>
      <c r="F5" s="82"/>
      <c r="G5" s="82"/>
      <c r="H5" s="82"/>
      <c r="I5" s="242"/>
    </row>
    <row r="6" spans="2:15" ht="15" x14ac:dyDescent="0.35">
      <c r="B6" s="8" t="s">
        <v>349</v>
      </c>
      <c r="C6" s="377" t="s">
        <v>338</v>
      </c>
      <c r="D6" s="41" t="s">
        <v>77</v>
      </c>
      <c r="E6" s="259" t="s">
        <v>287</v>
      </c>
      <c r="G6" s="313"/>
      <c r="H6" s="131"/>
      <c r="I6" s="242"/>
      <c r="J6" s="81"/>
      <c r="K6" s="81"/>
    </row>
    <row r="7" spans="2:15" ht="15" x14ac:dyDescent="0.35">
      <c r="B7" s="8" t="s">
        <v>348</v>
      </c>
      <c r="C7" s="132" t="s">
        <v>338</v>
      </c>
      <c r="D7" s="41" t="s">
        <v>212</v>
      </c>
      <c r="E7" s="384" t="s">
        <v>316</v>
      </c>
      <c r="F7" s="337">
        <v>0.7</v>
      </c>
      <c r="G7" s="313" t="s">
        <v>3</v>
      </c>
      <c r="H7" s="131"/>
      <c r="I7" s="263"/>
      <c r="J7" s="316"/>
      <c r="K7" s="317"/>
      <c r="L7" s="8"/>
    </row>
    <row r="8" spans="2:15" ht="15.45" x14ac:dyDescent="0.4">
      <c r="B8" s="393" t="s">
        <v>350</v>
      </c>
      <c r="C8" s="66" t="s">
        <v>317</v>
      </c>
      <c r="D8" s="315" t="s">
        <v>318</v>
      </c>
      <c r="E8" s="356">
        <v>1</v>
      </c>
      <c r="F8" s="83"/>
      <c r="G8" s="84"/>
      <c r="H8" s="84"/>
      <c r="K8" s="242"/>
    </row>
    <row r="9" spans="2:15" ht="15.45" x14ac:dyDescent="0.4">
      <c r="B9" s="41" t="s">
        <v>357</v>
      </c>
      <c r="C9" s="66">
        <v>5</v>
      </c>
      <c r="D9" s="419" t="s">
        <v>358</v>
      </c>
      <c r="E9" s="420"/>
      <c r="F9" s="421"/>
      <c r="G9" s="84"/>
      <c r="H9" s="84"/>
      <c r="I9" s="8" t="s">
        <v>356</v>
      </c>
      <c r="J9" s="242"/>
      <c r="K9" s="242"/>
      <c r="M9" s="260"/>
    </row>
    <row r="10" spans="2:15" ht="15" x14ac:dyDescent="0.35">
      <c r="B10" s="13" t="s">
        <v>95</v>
      </c>
      <c r="C10" s="8"/>
      <c r="D10" s="8"/>
      <c r="E10" s="13"/>
      <c r="F10" s="357">
        <v>44658</v>
      </c>
      <c r="G10" s="13"/>
      <c r="H10" s="13"/>
      <c r="I10" s="8"/>
    </row>
    <row r="11" spans="2:15" ht="15" x14ac:dyDescent="0.35">
      <c r="B11" s="13" t="s">
        <v>96</v>
      </c>
      <c r="C11" s="10" t="s">
        <v>1</v>
      </c>
      <c r="D11" s="10"/>
      <c r="E11" s="13"/>
      <c r="F11" s="50">
        <v>100</v>
      </c>
      <c r="G11" s="13"/>
      <c r="H11" s="13"/>
      <c r="I11" s="314" t="s">
        <v>344</v>
      </c>
      <c r="J11" s="314" t="s">
        <v>245</v>
      </c>
      <c r="K11" s="390" t="s">
        <v>345</v>
      </c>
      <c r="L11" s="314" t="s">
        <v>343</v>
      </c>
      <c r="M11" s="314" t="s">
        <v>90</v>
      </c>
      <c r="N11" s="314" t="s">
        <v>214</v>
      </c>
    </row>
    <row r="12" spans="2:15" ht="15" x14ac:dyDescent="0.35">
      <c r="B12" s="13" t="s">
        <v>98</v>
      </c>
      <c r="C12" s="10" t="s">
        <v>2</v>
      </c>
      <c r="D12" s="10"/>
      <c r="E12" s="13"/>
      <c r="F12" s="33">
        <v>800</v>
      </c>
      <c r="G12" s="13"/>
      <c r="H12" s="13"/>
      <c r="I12" s="389">
        <v>44256</v>
      </c>
      <c r="J12" s="391">
        <f>F19</f>
        <v>44823</v>
      </c>
      <c r="K12" s="53">
        <f>J12-I12</f>
        <v>567</v>
      </c>
      <c r="L12" s="33">
        <v>100</v>
      </c>
      <c r="M12" s="80">
        <f>F24</f>
        <v>1401.6</v>
      </c>
      <c r="N12" s="261">
        <f>IF(L12=0,0,((M12-L12)/K12))</f>
        <v>2.295590828924162</v>
      </c>
    </row>
    <row r="13" spans="2:15" ht="15.45" x14ac:dyDescent="0.4">
      <c r="B13" s="8" t="s">
        <v>262</v>
      </c>
      <c r="C13" s="10" t="s">
        <v>4</v>
      </c>
      <c r="E13" s="8"/>
      <c r="F13" s="354">
        <f>D127</f>
        <v>154</v>
      </c>
      <c r="H13" s="353">
        <f>D99</f>
        <v>13.746904670354818</v>
      </c>
      <c r="I13" s="8" t="s">
        <v>63</v>
      </c>
    </row>
    <row r="14" spans="2:15" ht="15" x14ac:dyDescent="0.35">
      <c r="B14" s="13" t="s">
        <v>99</v>
      </c>
      <c r="C14" s="74" t="s">
        <v>109</v>
      </c>
      <c r="D14" s="35">
        <v>5</v>
      </c>
      <c r="E14" s="407">
        <v>100</v>
      </c>
      <c r="F14" s="318">
        <f>M18</f>
        <v>8.1632653061224492</v>
      </c>
      <c r="H14" s="332">
        <f>F75</f>
        <v>155.70117945295644</v>
      </c>
      <c r="I14" s="8" t="s">
        <v>62</v>
      </c>
    </row>
    <row r="15" spans="2:15" ht="15" x14ac:dyDescent="0.35">
      <c r="B15" s="13" t="s">
        <v>100</v>
      </c>
      <c r="C15" s="10" t="s">
        <v>6</v>
      </c>
      <c r="D15" s="10"/>
      <c r="E15" s="13"/>
      <c r="F15" s="18">
        <f>((F12*F13*0.01)+F14)</f>
        <v>1240.1632653061224</v>
      </c>
      <c r="G15" s="19"/>
      <c r="H15" s="19"/>
    </row>
    <row r="16" spans="2:15" ht="15.45" x14ac:dyDescent="0.4">
      <c r="B16" s="13" t="s">
        <v>101</v>
      </c>
      <c r="C16" s="10" t="s">
        <v>4</v>
      </c>
      <c r="D16" s="10"/>
      <c r="E16" s="13"/>
      <c r="F16" s="44">
        <f>(F15/F12)*100</f>
        <v>155.0204081632653</v>
      </c>
      <c r="G16" s="19"/>
      <c r="H16" s="19"/>
      <c r="I16" s="39"/>
      <c r="J16" s="161" t="s">
        <v>110</v>
      </c>
      <c r="K16" s="164"/>
      <c r="L16" s="165"/>
      <c r="M16" s="323">
        <f>E14</f>
        <v>100</v>
      </c>
      <c r="N16" s="164" t="s">
        <v>260</v>
      </c>
      <c r="O16" s="166"/>
    </row>
    <row r="17" spans="2:21" ht="15.45" x14ac:dyDescent="0.4">
      <c r="B17" s="76" t="s">
        <v>129</v>
      </c>
      <c r="C17" s="77" t="s">
        <v>42</v>
      </c>
      <c r="D17" s="77"/>
      <c r="E17" s="85"/>
      <c r="F17" s="86">
        <f>(F15*F11)</f>
        <v>124016.32653061225</v>
      </c>
      <c r="G17" s="5"/>
      <c r="H17" s="5"/>
      <c r="I17" s="18"/>
      <c r="J17" s="318">
        <f>D14</f>
        <v>5</v>
      </c>
      <c r="K17" s="168" t="s">
        <v>111</v>
      </c>
      <c r="L17" s="169"/>
      <c r="M17" s="170">
        <f>J17*M16</f>
        <v>500</v>
      </c>
      <c r="N17" s="171" t="s">
        <v>113</v>
      </c>
      <c r="O17" s="172"/>
    </row>
    <row r="18" spans="2:21" ht="15.45" x14ac:dyDescent="0.4">
      <c r="B18" s="1"/>
      <c r="C18" s="6"/>
      <c r="D18" s="6"/>
      <c r="E18" s="62" t="s">
        <v>102</v>
      </c>
      <c r="F18" s="70"/>
      <c r="G18" s="71"/>
      <c r="H18" s="71"/>
      <c r="I18" s="72"/>
      <c r="J18" s="173">
        <v>49000</v>
      </c>
      <c r="K18" s="168" t="s">
        <v>112</v>
      </c>
      <c r="L18" s="169"/>
      <c r="M18" s="174">
        <f>M17/J19</f>
        <v>8.1632653061224492</v>
      </c>
      <c r="N18" s="171" t="s">
        <v>114</v>
      </c>
      <c r="O18" s="172"/>
    </row>
    <row r="19" spans="2:21" ht="15.45" x14ac:dyDescent="0.4">
      <c r="B19" s="8" t="s">
        <v>103</v>
      </c>
      <c r="D19" s="8"/>
      <c r="E19" s="13" t="s">
        <v>145</v>
      </c>
      <c r="F19" s="262">
        <f>F10+F20</f>
        <v>44823</v>
      </c>
      <c r="G19" s="81"/>
      <c r="H19" s="81"/>
      <c r="I19" s="62"/>
      <c r="J19" s="175">
        <f>J18/D106</f>
        <v>61.25</v>
      </c>
      <c r="K19" s="176" t="s">
        <v>115</v>
      </c>
      <c r="L19" s="176"/>
      <c r="M19" s="177">
        <f>(M18/D106)*100</f>
        <v>1.0204081632653061</v>
      </c>
      <c r="N19" s="120" t="s">
        <v>4</v>
      </c>
      <c r="O19" s="121"/>
    </row>
    <row r="20" spans="2:21" ht="15" x14ac:dyDescent="0.35">
      <c r="B20" s="13" t="s">
        <v>146</v>
      </c>
      <c r="C20" s="130" t="s">
        <v>147</v>
      </c>
      <c r="D20" s="53"/>
      <c r="E20" s="56">
        <v>1460</v>
      </c>
      <c r="F20" s="73">
        <f>((E20-F12)/F21)</f>
        <v>165</v>
      </c>
      <c r="G20" s="81"/>
      <c r="H20" s="81"/>
      <c r="I20" s="62"/>
    </row>
    <row r="21" spans="2:21" ht="15.45" x14ac:dyDescent="0.4">
      <c r="B21" s="8" t="s">
        <v>122</v>
      </c>
      <c r="C21" s="10" t="s">
        <v>7</v>
      </c>
      <c r="D21" s="10"/>
      <c r="E21" s="13"/>
      <c r="F21" s="34">
        <v>4</v>
      </c>
      <c r="G21" s="81"/>
      <c r="H21" s="81"/>
      <c r="I21" s="237" t="s">
        <v>191</v>
      </c>
      <c r="J21" s="62"/>
      <c r="K21" s="62"/>
      <c r="L21" s="81"/>
    </row>
    <row r="22" spans="2:21" ht="15" x14ac:dyDescent="0.35">
      <c r="B22" s="8" t="s">
        <v>104</v>
      </c>
      <c r="C22" s="10" t="s">
        <v>2</v>
      </c>
      <c r="D22" s="10"/>
      <c r="E22" s="13"/>
      <c r="F22" s="55">
        <f>(F20*F21+F12)</f>
        <v>1460</v>
      </c>
      <c r="G22" s="81"/>
      <c r="H22" s="81"/>
      <c r="I22" s="133">
        <f>((F22*F31)-(F11*F12))</f>
        <v>64540</v>
      </c>
      <c r="J22" s="134">
        <f>IF(I22&lt;=0,"Undefined",(I22/(F20*F31)))</f>
        <v>3.95102540557086</v>
      </c>
      <c r="K22" s="134"/>
      <c r="L22" s="81"/>
    </row>
    <row r="23" spans="2:21" ht="15" x14ac:dyDescent="0.35">
      <c r="B23" s="8" t="s">
        <v>105</v>
      </c>
      <c r="C23" s="10" t="s">
        <v>3</v>
      </c>
      <c r="D23" s="10"/>
      <c r="E23" s="13"/>
      <c r="F23" s="9">
        <v>4</v>
      </c>
      <c r="G23" s="81"/>
      <c r="H23" s="81"/>
      <c r="I23" s="135" t="s">
        <v>34</v>
      </c>
      <c r="J23" s="136">
        <f>(I22/F31)</f>
        <v>651.91919191919192</v>
      </c>
      <c r="K23" s="136"/>
      <c r="L23" s="81"/>
    </row>
    <row r="24" spans="2:21" ht="15.45" x14ac:dyDescent="0.4">
      <c r="B24" s="8" t="s">
        <v>106</v>
      </c>
      <c r="C24" s="10" t="s">
        <v>8</v>
      </c>
      <c r="D24" s="10"/>
      <c r="E24" s="13"/>
      <c r="F24" s="99">
        <f>((1-F23*0.01)*F22)</f>
        <v>1401.6</v>
      </c>
      <c r="G24" s="81"/>
      <c r="H24" s="81"/>
      <c r="I24" s="135" t="s">
        <v>9</v>
      </c>
      <c r="J24" s="62"/>
      <c r="K24" s="62"/>
      <c r="L24" s="137">
        <f>F24*F31</f>
        <v>138758.39999999999</v>
      </c>
      <c r="M24" s="8" t="s">
        <v>202</v>
      </c>
    </row>
    <row r="25" spans="2:21" ht="15" x14ac:dyDescent="0.35">
      <c r="B25" s="8" t="s">
        <v>258</v>
      </c>
      <c r="C25" s="41" t="s">
        <v>259</v>
      </c>
      <c r="D25" s="10"/>
      <c r="E25" s="306">
        <f>J25</f>
        <v>3.5611151515151511</v>
      </c>
      <c r="F25" s="100">
        <f>(F24-F12)</f>
        <v>601.59999999999991</v>
      </c>
      <c r="G25" s="81"/>
      <c r="H25" s="81"/>
      <c r="I25" s="104">
        <f>((F24*F31)-(F12*F11))</f>
        <v>58758.399999999994</v>
      </c>
      <c r="J25" s="105">
        <f>IF(F20&lt;=0,"Undefined",(I25/(F11*F20)))</f>
        <v>3.5611151515151511</v>
      </c>
      <c r="K25" s="105"/>
      <c r="L25" s="81"/>
    </row>
    <row r="26" spans="2:21" ht="15.45" x14ac:dyDescent="0.4">
      <c r="B26" s="8" t="s">
        <v>263</v>
      </c>
      <c r="C26" s="10" t="s">
        <v>4</v>
      </c>
      <c r="D26" s="10"/>
      <c r="E26" s="13"/>
      <c r="F26" s="320">
        <f>E127</f>
        <v>144</v>
      </c>
      <c r="G26" s="81"/>
      <c r="H26" s="81"/>
      <c r="I26" s="242" t="s">
        <v>124</v>
      </c>
      <c r="J26" s="136">
        <f>(I25/F11)</f>
        <v>587.58399999999995</v>
      </c>
      <c r="K26" s="136"/>
      <c r="L26" s="81"/>
    </row>
    <row r="27" spans="2:21" ht="15" x14ac:dyDescent="0.35">
      <c r="B27" s="8" t="s">
        <v>107</v>
      </c>
      <c r="C27" s="10" t="s">
        <v>5</v>
      </c>
      <c r="D27" s="10"/>
      <c r="E27" s="127">
        <v>0</v>
      </c>
      <c r="F27" s="45">
        <f>((F24*F26*0.01)*E27*0.01)</f>
        <v>0</v>
      </c>
      <c r="G27" s="81"/>
      <c r="H27" s="81"/>
      <c r="I27" s="242" t="s">
        <v>192</v>
      </c>
      <c r="J27" s="137">
        <f>(($F$24*$F$31)-($F$11*$F$12))/$F$31</f>
        <v>593.51919191919183</v>
      </c>
      <c r="K27" s="137"/>
      <c r="L27" s="276">
        <f>J27*F31</f>
        <v>58758.399999999994</v>
      </c>
      <c r="M27" s="8" t="s">
        <v>233</v>
      </c>
    </row>
    <row r="28" spans="2:21" ht="15" x14ac:dyDescent="0.35">
      <c r="B28" s="8" t="s">
        <v>193</v>
      </c>
      <c r="C28" s="74" t="s">
        <v>109</v>
      </c>
      <c r="D28" s="35">
        <v>0</v>
      </c>
      <c r="E28" s="33">
        <v>0</v>
      </c>
      <c r="F28" s="45">
        <f>O31</f>
        <v>0</v>
      </c>
      <c r="G28" s="81"/>
      <c r="H28" s="81"/>
      <c r="I28" s="81"/>
      <c r="J28" s="81"/>
      <c r="K28" s="81"/>
      <c r="L28" s="81"/>
      <c r="O28" s="75"/>
      <c r="P28" s="75"/>
      <c r="Q28" s="75"/>
      <c r="R28" s="75"/>
      <c r="S28" s="75"/>
      <c r="T28" s="75"/>
    </row>
    <row r="29" spans="2:21" ht="15" x14ac:dyDescent="0.35">
      <c r="B29" s="8" t="s">
        <v>108</v>
      </c>
      <c r="C29" s="10" t="s">
        <v>6</v>
      </c>
      <c r="D29" s="10"/>
      <c r="E29" s="13"/>
      <c r="F29" s="35">
        <v>10</v>
      </c>
      <c r="G29" s="81"/>
      <c r="H29" s="81"/>
      <c r="I29" s="81"/>
      <c r="J29" s="81"/>
      <c r="K29" s="81"/>
      <c r="L29" s="161" t="s">
        <v>110</v>
      </c>
      <c r="M29" s="164"/>
      <c r="N29" s="165"/>
      <c r="O29" s="164"/>
      <c r="P29" s="164"/>
      <c r="Q29" s="166"/>
      <c r="T29" s="90"/>
      <c r="U29" s="63"/>
    </row>
    <row r="30" spans="2:21" ht="15.45" x14ac:dyDescent="0.4">
      <c r="B30" s="76" t="s">
        <v>119</v>
      </c>
      <c r="C30" s="77" t="s">
        <v>6</v>
      </c>
      <c r="D30" s="77"/>
      <c r="E30" s="76"/>
      <c r="F30" s="78">
        <f>SUM(F27:F29)</f>
        <v>10</v>
      </c>
      <c r="G30" s="81"/>
      <c r="H30" s="81"/>
      <c r="I30" s="235"/>
      <c r="J30" s="81"/>
      <c r="K30" s="81"/>
      <c r="L30" s="167">
        <f>D28</f>
        <v>0</v>
      </c>
      <c r="M30" s="168" t="s">
        <v>111</v>
      </c>
      <c r="N30" s="169"/>
      <c r="O30" s="170">
        <f>L30*E28</f>
        <v>0</v>
      </c>
      <c r="P30" s="171" t="s">
        <v>113</v>
      </c>
      <c r="Q30" s="172"/>
      <c r="T30" s="92"/>
      <c r="U30" s="63"/>
    </row>
    <row r="31" spans="2:21" ht="15.45" x14ac:dyDescent="0.4">
      <c r="B31" s="8" t="s">
        <v>116</v>
      </c>
      <c r="C31" s="10" t="s">
        <v>54</v>
      </c>
      <c r="D31" s="10"/>
      <c r="E31" s="126">
        <v>1</v>
      </c>
      <c r="F31" s="278">
        <f>(1-E31*0.01)*F11</f>
        <v>99</v>
      </c>
      <c r="G31" s="81"/>
      <c r="H31" s="81"/>
      <c r="I31" s="23"/>
      <c r="J31" s="81"/>
      <c r="K31" s="81"/>
      <c r="L31" s="173">
        <v>49000</v>
      </c>
      <c r="M31" s="168" t="s">
        <v>112</v>
      </c>
      <c r="N31" s="169"/>
      <c r="O31" s="174">
        <f>O30/L32</f>
        <v>0</v>
      </c>
      <c r="P31" s="171" t="s">
        <v>114</v>
      </c>
      <c r="Q31" s="172"/>
      <c r="T31" s="63"/>
      <c r="U31" s="63"/>
    </row>
    <row r="32" spans="2:21" ht="15.45" x14ac:dyDescent="0.4">
      <c r="B32" s="8" t="s">
        <v>117</v>
      </c>
      <c r="C32" s="10" t="s">
        <v>6</v>
      </c>
      <c r="D32" s="10"/>
      <c r="E32" s="13"/>
      <c r="F32" s="12">
        <f>((F24*F26*0.01)-F30)</f>
        <v>2008.3040000000001</v>
      </c>
      <c r="G32" s="62"/>
      <c r="H32" s="62"/>
      <c r="I32" s="236"/>
      <c r="J32" s="235"/>
      <c r="K32" s="235"/>
      <c r="L32" s="175">
        <f>L31/F22</f>
        <v>33.561643835616437</v>
      </c>
      <c r="M32" s="176" t="s">
        <v>115</v>
      </c>
      <c r="N32" s="176"/>
      <c r="O32" s="177">
        <f>(O31/F24)*100</f>
        <v>0</v>
      </c>
      <c r="P32" s="120" t="s">
        <v>4</v>
      </c>
      <c r="Q32" s="121"/>
      <c r="T32" s="63"/>
      <c r="U32" s="63"/>
    </row>
    <row r="33" spans="2:26" ht="15.45" x14ac:dyDescent="0.4">
      <c r="B33" s="8" t="s">
        <v>118</v>
      </c>
      <c r="C33" s="10" t="s">
        <v>4</v>
      </c>
      <c r="D33" s="10"/>
      <c r="E33" s="13"/>
      <c r="F33" s="12">
        <f>(F32/F24)*100</f>
        <v>143.28652968036531</v>
      </c>
      <c r="G33" s="62"/>
      <c r="H33" s="62"/>
      <c r="J33" s="81"/>
      <c r="K33" s="81"/>
      <c r="L33" s="138"/>
      <c r="N33" s="63"/>
      <c r="O33" s="63"/>
      <c r="P33" s="63"/>
      <c r="Q33" s="63"/>
      <c r="R33" s="93"/>
      <c r="S33" s="91"/>
      <c r="T33" s="90"/>
      <c r="U33" s="63"/>
    </row>
    <row r="34" spans="2:26" ht="15.45" x14ac:dyDescent="0.4">
      <c r="B34" s="76" t="s">
        <v>10</v>
      </c>
      <c r="C34" s="77" t="s">
        <v>42</v>
      </c>
      <c r="D34" s="77"/>
      <c r="E34" s="96">
        <f>F34/F31</f>
        <v>2008.3040000000001</v>
      </c>
      <c r="F34" s="86">
        <f>(F32*F31)</f>
        <v>198822.09600000002</v>
      </c>
      <c r="G34" s="81"/>
      <c r="H34" s="81"/>
      <c r="I34" s="81"/>
      <c r="J34" s="243"/>
      <c r="K34" s="243"/>
      <c r="L34" s="193"/>
      <c r="M34" s="193"/>
      <c r="N34" s="193"/>
      <c r="O34" s="193"/>
      <c r="P34" s="193"/>
      <c r="Q34" s="193"/>
      <c r="R34" s="193"/>
      <c r="S34" s="193"/>
      <c r="T34" s="193"/>
      <c r="U34" s="113"/>
      <c r="V34" s="193"/>
      <c r="W34" s="193"/>
      <c r="X34" s="193"/>
      <c r="Y34" s="193"/>
      <c r="Z34" s="193"/>
    </row>
    <row r="35" spans="2:26" ht="15" x14ac:dyDescent="0.35">
      <c r="G35" s="402" t="s">
        <v>360</v>
      </c>
      <c r="H35" s="81"/>
      <c r="I35" s="81"/>
      <c r="J35" s="81"/>
      <c r="K35" s="81"/>
    </row>
    <row r="36" spans="2:26" ht="15.45" x14ac:dyDescent="0.4">
      <c r="B36" s="1" t="s">
        <v>128</v>
      </c>
      <c r="C36" s="10"/>
      <c r="D36" s="6" t="s">
        <v>200</v>
      </c>
      <c r="E36" s="97" t="s">
        <v>130</v>
      </c>
      <c r="F36" s="13"/>
      <c r="G36" s="402" t="s">
        <v>361</v>
      </c>
      <c r="H36" s="273"/>
      <c r="I36" s="223" t="s">
        <v>254</v>
      </c>
      <c r="J36" s="267" t="s">
        <v>255</v>
      </c>
      <c r="K36" s="267"/>
      <c r="L36" s="189"/>
    </row>
    <row r="37" spans="2:26" ht="15.45" x14ac:dyDescent="0.4">
      <c r="B37" s="76" t="s">
        <v>199</v>
      </c>
      <c r="C37" s="77" t="s">
        <v>42</v>
      </c>
      <c r="D37" s="144">
        <f>F15</f>
        <v>1240.1632653061224</v>
      </c>
      <c r="E37" s="244">
        <f>F16</f>
        <v>155.0204081632653</v>
      </c>
      <c r="F37" s="404">
        <f>F17</f>
        <v>124016.32653061225</v>
      </c>
      <c r="G37" s="406">
        <f>F37/$F$64</f>
        <v>0.62805430333837908</v>
      </c>
      <c r="H37" s="286"/>
      <c r="I37" s="304">
        <f>((E41/2000))*100</f>
        <v>17</v>
      </c>
      <c r="J37" s="60">
        <f>((I37/100*56)*$J$38*0.01)</f>
        <v>8.1396000000000015</v>
      </c>
      <c r="K37" s="60"/>
      <c r="L37" s="189"/>
      <c r="M37" s="190" t="s">
        <v>170</v>
      </c>
      <c r="N37" s="118">
        <f>E61</f>
        <v>5</v>
      </c>
      <c r="O37" s="113" t="s">
        <v>3</v>
      </c>
      <c r="P37" s="191" t="s">
        <v>43</v>
      </c>
      <c r="Q37" s="228">
        <f>E79</f>
        <v>5</v>
      </c>
      <c r="R37" s="113" t="s">
        <v>3</v>
      </c>
      <c r="S37" s="113"/>
      <c r="T37" s="114"/>
      <c r="U37" s="63"/>
    </row>
    <row r="38" spans="2:26" ht="15.45" x14ac:dyDescent="0.4">
      <c r="B38" s="1"/>
      <c r="C38" s="10"/>
      <c r="E38" s="37"/>
      <c r="F38" s="13"/>
      <c r="G38" s="36"/>
      <c r="H38" s="36"/>
      <c r="I38" s="267" t="s">
        <v>219</v>
      </c>
      <c r="J38" s="409">
        <v>85.5</v>
      </c>
      <c r="K38" s="189" t="s">
        <v>3</v>
      </c>
      <c r="L38" s="192"/>
      <c r="M38" s="190" t="s">
        <v>169</v>
      </c>
      <c r="N38" s="193"/>
      <c r="O38" s="193"/>
      <c r="P38" s="194" t="s">
        <v>57</v>
      </c>
      <c r="Q38" s="190" t="s">
        <v>169</v>
      </c>
      <c r="R38" s="193"/>
      <c r="S38" s="193"/>
      <c r="T38" s="183"/>
      <c r="U38" s="63"/>
    </row>
    <row r="39" spans="2:26" ht="15" x14ac:dyDescent="0.35">
      <c r="B39" s="8" t="s">
        <v>56</v>
      </c>
      <c r="C39" s="417" t="s">
        <v>52</v>
      </c>
      <c r="D39" s="418"/>
      <c r="E39" s="128">
        <v>6</v>
      </c>
      <c r="F39" s="36" t="s">
        <v>125</v>
      </c>
      <c r="G39" s="80"/>
      <c r="H39" s="80"/>
      <c r="I39" s="63" t="s">
        <v>256</v>
      </c>
      <c r="J39" s="400">
        <f>F41</f>
        <v>7.5</v>
      </c>
      <c r="K39" s="305">
        <v>44658</v>
      </c>
      <c r="L39" s="192" t="s">
        <v>142</v>
      </c>
      <c r="M39" s="190" t="s">
        <v>150</v>
      </c>
      <c r="N39" s="190" t="s">
        <v>173</v>
      </c>
      <c r="O39" s="193"/>
      <c r="P39" s="193"/>
      <c r="Q39" s="190" t="s">
        <v>150</v>
      </c>
      <c r="R39" s="193"/>
      <c r="S39" s="193"/>
      <c r="T39" s="183"/>
    </row>
    <row r="40" spans="2:26" ht="15" x14ac:dyDescent="0.35">
      <c r="B40" s="68"/>
      <c r="C40" s="69"/>
      <c r="D40" s="10" t="s">
        <v>165</v>
      </c>
      <c r="E40" s="223" t="s">
        <v>218</v>
      </c>
      <c r="F40" s="8" t="s">
        <v>285</v>
      </c>
      <c r="I40" s="63" t="s">
        <v>252</v>
      </c>
      <c r="J40" s="268">
        <f>((J39/56)*2000)/(J38*0.01)</f>
        <v>313.2832080200501</v>
      </c>
      <c r="K40" s="279"/>
      <c r="L40" s="195">
        <f>M40*$E$61*0.01</f>
        <v>817.75093972602747</v>
      </c>
      <c r="M40" s="196">
        <f>(N40*(F20/365))</f>
        <v>16355.018794520547</v>
      </c>
      <c r="N40" s="197">
        <f>(((SUM($F$43:$F$48)+$F$56)*0.5))</f>
        <v>36179.284</v>
      </c>
      <c r="O40" s="113" t="s">
        <v>59</v>
      </c>
      <c r="P40" s="113"/>
      <c r="Q40" s="198">
        <f>N40*$F$20/365</f>
        <v>16355.018794520549</v>
      </c>
      <c r="R40" s="113"/>
      <c r="S40" s="113"/>
      <c r="T40" s="114"/>
    </row>
    <row r="41" spans="2:26" ht="15" x14ac:dyDescent="0.35">
      <c r="B41" s="8" t="s">
        <v>73</v>
      </c>
      <c r="C41" s="10" t="s">
        <v>51</v>
      </c>
      <c r="D41" s="67">
        <f>((J27*E39)/2000)</f>
        <v>1.7805575757575756</v>
      </c>
      <c r="E41" s="398">
        <v>340</v>
      </c>
      <c r="F41" s="129">
        <v>7.5</v>
      </c>
      <c r="G41" s="24"/>
      <c r="I41" s="63" t="s">
        <v>234</v>
      </c>
      <c r="J41" s="279">
        <f>((E41-J40)/J40)</f>
        <v>8.5280000000000092E-2</v>
      </c>
      <c r="K41" s="265"/>
      <c r="L41" s="199"/>
      <c r="M41" s="190"/>
      <c r="N41" s="200">
        <f>$N$40*$D$61*0.01</f>
        <v>10853.7852</v>
      </c>
      <c r="O41" s="113" t="s">
        <v>60</v>
      </c>
      <c r="P41" s="113"/>
      <c r="Q41" s="113"/>
      <c r="R41" s="113"/>
      <c r="S41" s="113"/>
      <c r="T41" s="114"/>
    </row>
    <row r="42" spans="2:26" ht="15.45" x14ac:dyDescent="0.4">
      <c r="B42" s="8"/>
      <c r="C42" s="10"/>
      <c r="D42" s="10" t="s">
        <v>33</v>
      </c>
      <c r="E42" s="10" t="s">
        <v>201</v>
      </c>
      <c r="F42" s="13"/>
      <c r="G42" s="19"/>
      <c r="H42" s="19"/>
      <c r="I42" s="324" t="s">
        <v>253</v>
      </c>
      <c r="J42" s="325">
        <f>E41/J40</f>
        <v>1.08528</v>
      </c>
      <c r="L42" s="201" t="s">
        <v>223</v>
      </c>
      <c r="M42" s="190"/>
      <c r="N42" s="200">
        <f>N40-N41</f>
        <v>25325.498800000001</v>
      </c>
      <c r="O42" s="113" t="s">
        <v>61</v>
      </c>
      <c r="P42" s="113"/>
      <c r="Q42" s="113"/>
      <c r="R42" s="113"/>
      <c r="S42" s="113"/>
      <c r="T42" s="114"/>
    </row>
    <row r="43" spans="2:26" ht="15" x14ac:dyDescent="0.35">
      <c r="B43" s="285" t="s">
        <v>243</v>
      </c>
      <c r="C43" s="15" t="s">
        <v>13</v>
      </c>
      <c r="D43" s="103">
        <f>J26</f>
        <v>587.58399999999995</v>
      </c>
      <c r="E43" s="18">
        <f>(E41/2000)*$E$39</f>
        <v>1.02</v>
      </c>
      <c r="F43" s="36">
        <f>((($I$25*$E$39)/2000)*E41)</f>
        <v>59933.567999999992</v>
      </c>
      <c r="G43" s="286">
        <f t="shared" ref="G43:G49" si="0">F43/$F$64</f>
        <v>0.30352080528310044</v>
      </c>
      <c r="H43" s="286"/>
      <c r="L43" s="293">
        <f>F43/L27*100</f>
        <v>102</v>
      </c>
      <c r="M43" s="190"/>
      <c r="N43" s="202" t="s">
        <v>176</v>
      </c>
      <c r="O43" s="113"/>
      <c r="P43" s="113"/>
      <c r="Q43" s="202" t="s">
        <v>67</v>
      </c>
      <c r="R43" s="113"/>
      <c r="S43" s="113"/>
      <c r="T43" s="114"/>
    </row>
    <row r="44" spans="2:26" ht="15.45" x14ac:dyDescent="0.4">
      <c r="B44" s="14" t="s">
        <v>120</v>
      </c>
      <c r="C44" s="15" t="s">
        <v>50</v>
      </c>
      <c r="D44" s="48">
        <f>F20</f>
        <v>165</v>
      </c>
      <c r="E44" s="47">
        <v>0.45</v>
      </c>
      <c r="F44" s="36">
        <f>D44*E44*$F$11</f>
        <v>7425</v>
      </c>
      <c r="G44" s="286">
        <f t="shared" si="0"/>
        <v>3.760233295683349E-2</v>
      </c>
      <c r="H44" s="286"/>
      <c r="I44" s="399" t="s">
        <v>352</v>
      </c>
      <c r="J44" s="44">
        <f>E41</f>
        <v>340</v>
      </c>
      <c r="K44" t="s">
        <v>336</v>
      </c>
      <c r="L44" s="294">
        <f>L43/D85</f>
        <v>0.81603526538238091</v>
      </c>
      <c r="M44" s="190"/>
      <c r="N44" s="203">
        <f>($N$41*$E$61*0.01*($F$20/365))/($N$40)*100</f>
        <v>0.67808219178082196</v>
      </c>
      <c r="O44" s="113" t="s">
        <v>3</v>
      </c>
      <c r="P44" s="113"/>
      <c r="Q44" s="203">
        <f>($Q$37*($F$20/365))</f>
        <v>2.2602739726027394</v>
      </c>
      <c r="R44" s="113" t="s">
        <v>3</v>
      </c>
      <c r="S44" s="113"/>
      <c r="T44" s="114"/>
    </row>
    <row r="45" spans="2:26" ht="15" x14ac:dyDescent="0.35">
      <c r="B45" s="281" t="s">
        <v>238</v>
      </c>
      <c r="C45" s="27" t="s">
        <v>12</v>
      </c>
      <c r="D45" s="233">
        <v>1</v>
      </c>
      <c r="E45" s="47">
        <v>20</v>
      </c>
      <c r="F45" s="36">
        <f>(D45*E45*$F$11)</f>
        <v>2000</v>
      </c>
      <c r="G45" s="286">
        <f t="shared" si="0"/>
        <v>1.0128574533827202E-2</v>
      </c>
      <c r="H45" s="286"/>
      <c r="L45" s="204"/>
      <c r="M45" s="190"/>
      <c r="N45" s="205">
        <f>$N$40*$N$44*0.01</f>
        <v>245.32528191780824</v>
      </c>
      <c r="O45" s="269" t="s">
        <v>228</v>
      </c>
      <c r="P45" s="113"/>
      <c r="Q45" s="219">
        <f>(((SUM($F$43:$F$48)+F56)*0.5*$Q$44*0.01))</f>
        <v>817.75093972602735</v>
      </c>
      <c r="R45" s="113" t="s">
        <v>134</v>
      </c>
      <c r="S45" s="113"/>
      <c r="T45" s="114"/>
    </row>
    <row r="46" spans="2:26" ht="15" x14ac:dyDescent="0.35">
      <c r="B46" s="281" t="s">
        <v>239</v>
      </c>
      <c r="C46" s="232" t="s">
        <v>12</v>
      </c>
      <c r="D46" s="233">
        <v>1</v>
      </c>
      <c r="E46" s="47">
        <v>5</v>
      </c>
      <c r="F46" s="36">
        <f>(D46*E46*$F$11)</f>
        <v>500</v>
      </c>
      <c r="G46" s="286">
        <f t="shared" si="0"/>
        <v>2.5321436334568006E-3</v>
      </c>
      <c r="H46" s="286"/>
      <c r="J46" s="40" t="s">
        <v>353</v>
      </c>
      <c r="L46" s="199"/>
      <c r="M46" s="190"/>
      <c r="N46" s="206"/>
      <c r="O46" s="113"/>
      <c r="P46" s="113"/>
      <c r="Q46" s="113"/>
      <c r="R46" s="113"/>
      <c r="S46" s="113"/>
      <c r="T46" s="114"/>
    </row>
    <row r="47" spans="2:26" ht="15" x14ac:dyDescent="0.35">
      <c r="B47" s="16" t="s">
        <v>163</v>
      </c>
      <c r="C47" s="51" t="s">
        <v>12</v>
      </c>
      <c r="D47" s="49">
        <v>1</v>
      </c>
      <c r="E47" s="47">
        <v>0</v>
      </c>
      <c r="F47" s="36">
        <f>(D47*E47*$F$11)</f>
        <v>0</v>
      </c>
      <c r="G47" s="286">
        <f t="shared" si="0"/>
        <v>0</v>
      </c>
      <c r="H47" s="286"/>
      <c r="I47" s="8" t="s">
        <v>351</v>
      </c>
      <c r="J47" s="60">
        <f>D85</f>
        <v>124.99459806091156</v>
      </c>
      <c r="K47" s="24" t="s">
        <v>354</v>
      </c>
      <c r="L47" s="199"/>
      <c r="M47" s="190"/>
      <c r="N47" s="206"/>
      <c r="O47" s="113"/>
      <c r="P47" s="113"/>
      <c r="Q47" s="113" t="s">
        <v>171</v>
      </c>
      <c r="R47" s="113"/>
      <c r="S47" s="113"/>
      <c r="T47" s="114"/>
    </row>
    <row r="48" spans="2:26" ht="15" x14ac:dyDescent="0.35">
      <c r="B48" s="17" t="s">
        <v>121</v>
      </c>
      <c r="C48" s="51" t="s">
        <v>12</v>
      </c>
      <c r="D48" s="49">
        <v>1</v>
      </c>
      <c r="E48" s="47">
        <v>0</v>
      </c>
      <c r="F48" s="36">
        <f>(D48*E48*$F$11)</f>
        <v>0</v>
      </c>
      <c r="G48" s="286">
        <f t="shared" si="0"/>
        <v>0</v>
      </c>
      <c r="H48" s="286"/>
      <c r="L48" s="195">
        <f>M48*$E$61*0.01</f>
        <v>2803.108750349455</v>
      </c>
      <c r="M48" s="196">
        <f>(($F$20/365)*N48)</f>
        <v>56062.175006989099</v>
      </c>
      <c r="N48" s="206">
        <f>($F$16*$F$11*$F$12*0.01)</f>
        <v>124016.32653061225</v>
      </c>
      <c r="O48" s="113" t="s">
        <v>58</v>
      </c>
      <c r="P48" s="113"/>
      <c r="Q48" s="207">
        <f>N48*$F$20/365</f>
        <v>56062.175006989091</v>
      </c>
      <c r="R48" s="113"/>
      <c r="S48" s="193"/>
      <c r="T48" s="114"/>
    </row>
    <row r="49" spans="2:21" ht="15.45" x14ac:dyDescent="0.4">
      <c r="B49" s="139" t="s">
        <v>181</v>
      </c>
      <c r="C49" s="140"/>
      <c r="D49" s="284"/>
      <c r="E49" s="86">
        <f>F49/F11</f>
        <v>1938.7489453061226</v>
      </c>
      <c r="F49" s="86">
        <f>SUM(F43:F48)+F37</f>
        <v>193874.89453061225</v>
      </c>
      <c r="G49" s="286">
        <f t="shared" si="0"/>
        <v>0.98183815974559707</v>
      </c>
      <c r="H49" s="286"/>
      <c r="L49" s="199"/>
      <c r="M49" s="190"/>
      <c r="N49" s="208">
        <f>N48*$D$61*0.01</f>
        <v>37204.897959183676</v>
      </c>
      <c r="O49" s="113" t="s">
        <v>60</v>
      </c>
      <c r="P49" s="113"/>
      <c r="Q49" s="198">
        <f>Q40+Q48</f>
        <v>72417.193801509638</v>
      </c>
      <c r="R49" s="113" t="s">
        <v>11</v>
      </c>
      <c r="S49" s="209"/>
      <c r="T49" s="114"/>
    </row>
    <row r="50" spans="2:21" ht="15.45" x14ac:dyDescent="0.4">
      <c r="B50" s="287"/>
      <c r="C50" s="288"/>
      <c r="D50" s="289"/>
      <c r="E50" s="70"/>
      <c r="F50" s="70"/>
      <c r="G50" s="290"/>
      <c r="H50" s="290"/>
      <c r="L50" s="199"/>
      <c r="M50" s="190"/>
      <c r="N50" s="208"/>
      <c r="O50" s="113"/>
      <c r="P50" s="113"/>
      <c r="Q50" s="198"/>
      <c r="R50" s="113"/>
      <c r="S50" s="209"/>
      <c r="T50" s="114"/>
    </row>
    <row r="51" spans="2:21" ht="15.45" x14ac:dyDescent="0.4">
      <c r="B51" s="87" t="s">
        <v>244</v>
      </c>
      <c r="C51" s="51"/>
      <c r="D51" s="49"/>
      <c r="E51" s="47"/>
      <c r="F51" s="36">
        <f>F49-F37</f>
        <v>69858.567999999999</v>
      </c>
      <c r="G51" s="405">
        <f>F51/$F$64</f>
        <v>0.35378385640721799</v>
      </c>
      <c r="H51" s="286"/>
      <c r="I51" s="280" t="s">
        <v>236</v>
      </c>
      <c r="L51" s="199"/>
      <c r="M51" s="190"/>
      <c r="N51" s="208">
        <f>N48-N49</f>
        <v>86811.42857142858</v>
      </c>
      <c r="O51" s="113" t="s">
        <v>61</v>
      </c>
      <c r="P51" s="113"/>
      <c r="Q51" s="113"/>
      <c r="R51" s="113"/>
      <c r="S51" s="113"/>
      <c r="T51" s="114"/>
    </row>
    <row r="52" spans="2:21" ht="15.45" x14ac:dyDescent="0.4">
      <c r="B52" s="87"/>
      <c r="C52" s="51"/>
      <c r="D52" s="49"/>
      <c r="E52" s="47"/>
      <c r="F52" s="36"/>
      <c r="G52" s="286"/>
      <c r="H52" s="286"/>
      <c r="I52" s="280" t="s">
        <v>257</v>
      </c>
      <c r="L52" s="199"/>
      <c r="M52" s="190"/>
      <c r="N52" s="208"/>
      <c r="O52" s="113"/>
      <c r="P52" s="113"/>
      <c r="Q52" s="113"/>
      <c r="R52" s="113"/>
      <c r="S52" s="113"/>
      <c r="T52" s="114"/>
    </row>
    <row r="53" spans="2:21" ht="15.45" x14ac:dyDescent="0.4">
      <c r="B53" s="87" t="s">
        <v>342</v>
      </c>
      <c r="C53" s="51"/>
      <c r="D53" s="10" t="s">
        <v>1</v>
      </c>
      <c r="E53" s="19" t="s">
        <v>6</v>
      </c>
      <c r="F53" s="36"/>
      <c r="G53" s="36"/>
      <c r="H53" s="36"/>
      <c r="I53" s="36"/>
      <c r="L53" s="199"/>
      <c r="M53" s="193"/>
      <c r="N53" s="210">
        <f>($F$16*$F$11*$F$12*0.01)*$N$44*0.01</f>
        <v>840.93262510483646</v>
      </c>
      <c r="O53" s="113" t="s">
        <v>64</v>
      </c>
      <c r="P53" s="113"/>
      <c r="Q53" s="218">
        <f>($F$16*$F$11*$F$12*0.01)*$Q$44*0.01</f>
        <v>2803.1087503494546</v>
      </c>
      <c r="R53" s="113" t="s">
        <v>58</v>
      </c>
      <c r="S53" s="113"/>
      <c r="T53" s="114"/>
    </row>
    <row r="54" spans="2:21" ht="15" x14ac:dyDescent="0.35">
      <c r="B54" s="17" t="s">
        <v>126</v>
      </c>
      <c r="C54" s="232" t="s">
        <v>12</v>
      </c>
      <c r="D54" s="233">
        <f>F$11</f>
        <v>100</v>
      </c>
      <c r="E54" s="47">
        <v>5</v>
      </c>
      <c r="F54" s="36">
        <f>(D54*E54)</f>
        <v>500</v>
      </c>
      <c r="G54" s="36"/>
      <c r="H54" s="36"/>
      <c r="I54" s="36"/>
      <c r="L54" s="199"/>
      <c r="M54" s="193"/>
      <c r="N54" s="208"/>
      <c r="O54" s="113"/>
      <c r="P54" s="113"/>
      <c r="Q54" s="113"/>
      <c r="R54" s="113"/>
      <c r="S54" s="113"/>
      <c r="T54" s="114"/>
    </row>
    <row r="55" spans="2:21" ht="15" x14ac:dyDescent="0.35">
      <c r="B55" s="17" t="s">
        <v>127</v>
      </c>
      <c r="C55" s="232" t="s">
        <v>12</v>
      </c>
      <c r="D55" s="233">
        <f>F$11</f>
        <v>100</v>
      </c>
      <c r="E55" s="47">
        <v>20</v>
      </c>
      <c r="F55" s="36">
        <f>(D55*E55)</f>
        <v>2000</v>
      </c>
      <c r="G55" s="36"/>
      <c r="H55" s="36"/>
      <c r="I55" s="36"/>
      <c r="L55" s="199"/>
      <c r="M55" s="193"/>
      <c r="N55" s="211">
        <f>(N45+N53)</f>
        <v>1086.2579070226448</v>
      </c>
      <c r="O55" s="113" t="s">
        <v>44</v>
      </c>
      <c r="P55" s="113"/>
      <c r="Q55" s="212">
        <f>(Q45+Q53)</f>
        <v>3620.8596900754819</v>
      </c>
      <c r="R55" s="113" t="s">
        <v>44</v>
      </c>
      <c r="S55" s="113"/>
      <c r="T55" s="114"/>
    </row>
    <row r="56" spans="2:21" ht="15.45" x14ac:dyDescent="0.4">
      <c r="B56" s="87" t="s">
        <v>342</v>
      </c>
      <c r="C56" s="141"/>
      <c r="D56" s="142"/>
      <c r="E56" s="149">
        <f>F56/F11</f>
        <v>25</v>
      </c>
      <c r="F56" s="86">
        <f>F54+F55</f>
        <v>2500</v>
      </c>
      <c r="G56" s="286">
        <f>F56/$F$64</f>
        <v>1.2660718167284004E-2</v>
      </c>
      <c r="H56" s="36"/>
      <c r="I56" s="7"/>
      <c r="L56" s="195">
        <f>L40+L48</f>
        <v>3620.8596900754824</v>
      </c>
      <c r="M56" s="190" t="s">
        <v>175</v>
      </c>
      <c r="N56" s="213"/>
      <c r="O56" s="113"/>
      <c r="P56" s="113"/>
      <c r="Q56" s="113"/>
      <c r="R56" s="113"/>
      <c r="S56" s="113"/>
      <c r="T56" s="114"/>
      <c r="U56" s="63"/>
    </row>
    <row r="57" spans="2:21" ht="15.45" x14ac:dyDescent="0.4">
      <c r="B57" s="87"/>
      <c r="C57" s="28"/>
      <c r="D57" s="222" t="s">
        <v>203</v>
      </c>
      <c r="E57" s="222" t="s">
        <v>133</v>
      </c>
      <c r="F57" s="7"/>
      <c r="G57" s="36"/>
      <c r="H57" s="36"/>
      <c r="I57" s="36"/>
      <c r="L57" s="199"/>
      <c r="M57" s="411">
        <f>M48+M40</f>
        <v>72417.193801509653</v>
      </c>
      <c r="N57" s="213">
        <f>N41+N49</f>
        <v>48058.683159183674</v>
      </c>
      <c r="O57" s="202" t="s">
        <v>174</v>
      </c>
      <c r="P57" s="113"/>
      <c r="Q57" s="113"/>
      <c r="R57" s="113"/>
      <c r="S57" s="113"/>
      <c r="T57" s="114"/>
      <c r="U57" s="63"/>
    </row>
    <row r="58" spans="2:21" ht="15.45" x14ac:dyDescent="0.4">
      <c r="B58" s="76" t="s">
        <v>131</v>
      </c>
      <c r="C58" s="77"/>
      <c r="D58" s="245">
        <f>(F58/L24)*100</f>
        <v>141.52288764544147</v>
      </c>
      <c r="E58" s="86">
        <f>F58/$F$31</f>
        <v>1983.5847932385075</v>
      </c>
      <c r="F58" s="86">
        <f>F49+F56</f>
        <v>196374.89453061225</v>
      </c>
      <c r="G58" s="286">
        <f>F58/$F$64</f>
        <v>0.99449887791288105</v>
      </c>
      <c r="H58" s="286"/>
      <c r="I58" s="7"/>
      <c r="L58" s="199"/>
      <c r="M58" s="193"/>
      <c r="N58" s="213"/>
      <c r="O58" s="202"/>
      <c r="P58" s="113"/>
      <c r="Q58" s="113"/>
      <c r="R58" s="113"/>
      <c r="S58" s="113"/>
      <c r="T58" s="114"/>
      <c r="U58" s="63"/>
    </row>
    <row r="59" spans="2:21" ht="15.45" x14ac:dyDescent="0.4">
      <c r="C59" s="8"/>
      <c r="D59" s="8"/>
      <c r="E59" s="6"/>
      <c r="F59" s="188" t="s">
        <v>178</v>
      </c>
      <c r="I59" s="40" t="s">
        <v>179</v>
      </c>
      <c r="J59" s="40" t="s">
        <v>179</v>
      </c>
      <c r="K59" s="40"/>
      <c r="L59" s="199"/>
      <c r="M59" s="214" t="s">
        <v>150</v>
      </c>
      <c r="N59" s="213">
        <f>N42+N51</f>
        <v>112136.92737142858</v>
      </c>
      <c r="O59" s="202" t="s">
        <v>65</v>
      </c>
      <c r="P59" s="113"/>
      <c r="Q59" s="113"/>
      <c r="R59" s="113"/>
      <c r="S59" s="113"/>
      <c r="T59" s="114"/>
      <c r="U59" s="63"/>
    </row>
    <row r="60" spans="2:21" ht="15" x14ac:dyDescent="0.35">
      <c r="B60" s="8" t="s">
        <v>167</v>
      </c>
      <c r="C60" s="8"/>
      <c r="D60" s="8" t="s">
        <v>45</v>
      </c>
      <c r="E60" s="19" t="s">
        <v>142</v>
      </c>
      <c r="F60" s="40" t="s">
        <v>168</v>
      </c>
      <c r="I60" s="40" t="s">
        <v>168</v>
      </c>
      <c r="J60" s="24" t="s">
        <v>60</v>
      </c>
      <c r="K60" s="24"/>
      <c r="L60" s="215">
        <f>M60*$E$61*0.01</f>
        <v>3620.8596900754828</v>
      </c>
      <c r="M60" s="216">
        <f>M40+M48</f>
        <v>72417.193801509653</v>
      </c>
      <c r="N60" s="217">
        <f>N57+N59</f>
        <v>160195.61053061226</v>
      </c>
      <c r="O60" s="185" t="s">
        <v>66</v>
      </c>
      <c r="P60" s="120"/>
      <c r="Q60" s="120"/>
      <c r="R60" s="120"/>
      <c r="S60" s="120"/>
      <c r="T60" s="121"/>
      <c r="U60" s="63"/>
    </row>
    <row r="61" spans="2:21" ht="15" x14ac:dyDescent="0.35">
      <c r="B61" s="8" t="s">
        <v>166</v>
      </c>
      <c r="C61" s="10"/>
      <c r="D61" s="11">
        <v>30</v>
      </c>
      <c r="E61" s="46">
        <v>5</v>
      </c>
      <c r="F61" s="221">
        <f>M60</f>
        <v>72417.193801509653</v>
      </c>
      <c r="I61" s="159">
        <f>F61/F11</f>
        <v>724.17193801509654</v>
      </c>
      <c r="J61" s="220">
        <f>I61*D61*0.01</f>
        <v>217.25158140452896</v>
      </c>
      <c r="K61" s="220"/>
      <c r="Q61" s="63"/>
      <c r="R61" s="63"/>
      <c r="S61" s="63"/>
      <c r="T61" s="63"/>
      <c r="U61" s="63"/>
    </row>
    <row r="62" spans="2:21" ht="15.45" x14ac:dyDescent="0.4">
      <c r="B62" s="76" t="s">
        <v>132</v>
      </c>
      <c r="C62" s="77"/>
      <c r="D62" s="143"/>
      <c r="E62" s="149">
        <f>F62/$F$31</f>
        <v>10.972302091137825</v>
      </c>
      <c r="F62" s="96">
        <f>N55</f>
        <v>1086.2579070226448</v>
      </c>
      <c r="G62" s="405">
        <f>F62/$F$64</f>
        <v>5.5011220871189984E-3</v>
      </c>
      <c r="H62" s="286"/>
      <c r="I62" s="106"/>
      <c r="L62" s="160"/>
      <c r="N62" s="94"/>
      <c r="O62" s="63"/>
      <c r="P62" s="63"/>
      <c r="Q62" s="63"/>
      <c r="R62" s="63"/>
      <c r="U62" s="63"/>
    </row>
    <row r="63" spans="2:21" ht="15.45" x14ac:dyDescent="0.4">
      <c r="B63" s="1"/>
      <c r="C63" s="1"/>
      <c r="D63" s="6" t="s">
        <v>203</v>
      </c>
      <c r="E63" s="6"/>
      <c r="L63" s="108" t="s">
        <v>68</v>
      </c>
      <c r="M63" s="110"/>
      <c r="N63" s="110" t="s">
        <v>135</v>
      </c>
      <c r="O63" s="111" t="s">
        <v>136</v>
      </c>
      <c r="P63" s="63"/>
      <c r="Q63" s="98"/>
      <c r="R63" s="63"/>
      <c r="U63" s="63"/>
    </row>
    <row r="64" spans="2:21" ht="15.45" x14ac:dyDescent="0.4">
      <c r="B64" s="76" t="s">
        <v>180</v>
      </c>
      <c r="C64" s="76"/>
      <c r="D64" s="144">
        <f>F64/$J$104*100</f>
        <v>142.30572883345073</v>
      </c>
      <c r="E64" s="86">
        <f>F64/$F$31</f>
        <v>1994.5570953296453</v>
      </c>
      <c r="F64" s="96">
        <f>F58+F62</f>
        <v>197461.15243763488</v>
      </c>
      <c r="G64" s="403">
        <f>F64/$F$64</f>
        <v>1</v>
      </c>
      <c r="H64" s="286"/>
      <c r="I64" s="106"/>
      <c r="L64" s="178" t="s">
        <v>69</v>
      </c>
      <c r="M64" s="113"/>
      <c r="N64" s="179">
        <f>F43+F44</f>
        <v>67358.567999999999</v>
      </c>
      <c r="O64" s="180">
        <f>E39*I25</f>
        <v>352550.39999999997</v>
      </c>
      <c r="P64" s="63"/>
      <c r="Q64" s="63"/>
      <c r="R64" s="63"/>
      <c r="U64" s="63"/>
    </row>
    <row r="65" spans="2:21" ht="15.45" x14ac:dyDescent="0.4">
      <c r="B65" s="1"/>
      <c r="C65" s="1"/>
      <c r="D65" s="44"/>
      <c r="E65" s="222" t="s">
        <v>133</v>
      </c>
      <c r="F65" s="88"/>
      <c r="L65" s="178" t="s">
        <v>70</v>
      </c>
      <c r="M65" s="113"/>
      <c r="N65" s="181">
        <f>F43</f>
        <v>59933.567999999992</v>
      </c>
      <c r="O65" s="343">
        <f>((N65/($O$64/2000)))</f>
        <v>340</v>
      </c>
      <c r="P65" s="63"/>
      <c r="Q65" s="63"/>
      <c r="R65" s="63"/>
      <c r="U65" s="63"/>
    </row>
    <row r="66" spans="2:21" ht="15.45" x14ac:dyDescent="0.4">
      <c r="B66" s="76" t="s">
        <v>63</v>
      </c>
      <c r="C66" s="77"/>
      <c r="D66" s="321">
        <f>F66/$J$104*100</f>
        <v>0.98080084691458469</v>
      </c>
      <c r="E66" s="321">
        <f>F66/F31</f>
        <v>13.746904670354818</v>
      </c>
      <c r="F66" s="307">
        <f>$F$34-$F$58-$F$62</f>
        <v>1360.943562365127</v>
      </c>
      <c r="G66" s="405">
        <f>F66/$F$64</f>
        <v>6.8922091538737495E-3</v>
      </c>
      <c r="H66" s="286"/>
      <c r="L66" s="178" t="s">
        <v>71</v>
      </c>
      <c r="M66" s="113"/>
      <c r="N66" s="181">
        <f>F44</f>
        <v>7425</v>
      </c>
      <c r="O66" s="182">
        <f>((N66/($O$64/2000)))</f>
        <v>42.121637076571183</v>
      </c>
      <c r="P66" s="63"/>
      <c r="Q66" s="63"/>
      <c r="R66" s="63"/>
      <c r="U66" s="63"/>
    </row>
    <row r="67" spans="2:21" ht="15.45" x14ac:dyDescent="0.4">
      <c r="B67" s="21" t="s">
        <v>359</v>
      </c>
      <c r="C67" s="21"/>
      <c r="D67" s="21"/>
      <c r="E67" s="21"/>
      <c r="F67" s="21"/>
      <c r="G67" s="2"/>
      <c r="H67" s="2"/>
      <c r="I67" s="21"/>
      <c r="L67" s="178" t="s">
        <v>72</v>
      </c>
      <c r="M67" s="113"/>
      <c r="N67" s="181">
        <f>N65+N66</f>
        <v>67358.567999999999</v>
      </c>
      <c r="O67" s="183"/>
      <c r="P67" s="63"/>
      <c r="Q67" s="63"/>
      <c r="R67" s="63"/>
      <c r="S67" s="63"/>
      <c r="T67" s="63"/>
      <c r="U67" s="63"/>
    </row>
    <row r="68" spans="2:21" ht="15.45" x14ac:dyDescent="0.4">
      <c r="B68" s="76" t="s">
        <v>138</v>
      </c>
      <c r="C68" s="146"/>
      <c r="D68" s="143"/>
      <c r="E68" s="147"/>
      <c r="F68" s="329">
        <f>J78</f>
        <v>1.8793099965946983E-2</v>
      </c>
      <c r="L68" s="178"/>
      <c r="M68" s="113"/>
      <c r="N68" s="181"/>
      <c r="O68" s="183"/>
      <c r="P68" s="63"/>
      <c r="Q68" s="63"/>
      <c r="R68" s="63"/>
      <c r="S68" s="63"/>
      <c r="T68" s="63"/>
      <c r="U68" s="63"/>
    </row>
    <row r="69" spans="2:21" ht="15.45" x14ac:dyDescent="0.4">
      <c r="B69" s="1" t="s">
        <v>55</v>
      </c>
      <c r="C69" s="19"/>
      <c r="D69" s="8"/>
      <c r="F69" s="410">
        <f>J80*0.01</f>
        <v>2.6847285665638546E-2</v>
      </c>
      <c r="I69" s="21"/>
      <c r="L69" s="178"/>
      <c r="M69" s="113"/>
      <c r="N69" s="181"/>
      <c r="O69" s="183"/>
      <c r="P69" s="63"/>
      <c r="Q69" s="63"/>
      <c r="R69" s="63"/>
      <c r="S69" s="63"/>
      <c r="T69" s="63"/>
      <c r="U69" s="63"/>
    </row>
    <row r="70" spans="2:21" ht="15.45" x14ac:dyDescent="0.4">
      <c r="B70" s="246"/>
      <c r="C70" s="246"/>
      <c r="D70" s="246"/>
      <c r="E70" s="246"/>
      <c r="F70" s="246"/>
      <c r="G70" s="73"/>
      <c r="H70" s="345" t="s">
        <v>305</v>
      </c>
      <c r="I70" s="246"/>
      <c r="L70" s="178"/>
      <c r="M70" s="113"/>
      <c r="N70" s="181"/>
      <c r="O70" s="183"/>
      <c r="P70" s="63"/>
      <c r="Q70" s="63"/>
      <c r="R70" s="63"/>
      <c r="S70" s="63"/>
      <c r="T70" s="63"/>
      <c r="U70" s="63"/>
    </row>
    <row r="71" spans="2:21" ht="17.600000000000001" x14ac:dyDescent="0.4">
      <c r="B71" s="379" t="s">
        <v>286</v>
      </c>
      <c r="C71" s="380"/>
      <c r="D71" s="381"/>
      <c r="E71" s="382" t="s">
        <v>4</v>
      </c>
      <c r="F71" s="383">
        <f>((($F$64+($F$30-$F$27)*$F$31)/($F$24*$F$31))*100)/(1-$E$27*0.01)</f>
        <v>143.01919915308542</v>
      </c>
      <c r="G71" s="248"/>
      <c r="H71" s="344">
        <f>$F$24*$F$31</f>
        <v>138758.39999999999</v>
      </c>
      <c r="I71" s="239"/>
      <c r="L71" s="184" t="s">
        <v>172</v>
      </c>
      <c r="M71" s="185"/>
      <c r="N71" s="186"/>
      <c r="O71" s="187">
        <f>((N67/($O$64/2000)))</f>
        <v>382.12163707657123</v>
      </c>
      <c r="P71" s="63"/>
      <c r="T71" s="63"/>
      <c r="U71" s="63"/>
    </row>
    <row r="72" spans="2:21" ht="15.45" x14ac:dyDescent="0.4">
      <c r="B72" s="237"/>
      <c r="C72" s="84"/>
      <c r="D72" s="242"/>
      <c r="E72" s="84"/>
      <c r="F72" s="247"/>
      <c r="G72" s="248"/>
      <c r="H72" s="248">
        <f>(1-($E$27*0.01))</f>
        <v>1</v>
      </c>
      <c r="I72" s="239"/>
      <c r="L72" s="202"/>
      <c r="M72" s="202"/>
      <c r="N72" s="224"/>
      <c r="O72" s="225"/>
      <c r="P72" s="63"/>
      <c r="T72" s="63"/>
      <c r="U72" s="63"/>
    </row>
    <row r="73" spans="2:21" ht="15.45" x14ac:dyDescent="0.4">
      <c r="B73" s="378" t="s">
        <v>270</v>
      </c>
      <c r="C73" s="77"/>
      <c r="D73" s="143" t="s">
        <v>188</v>
      </c>
      <c r="E73" s="319">
        <v>64</v>
      </c>
      <c r="F73" s="145">
        <f>((F71/(E73*0.01)))</f>
        <v>223.46749867669598</v>
      </c>
      <c r="G73" s="248"/>
      <c r="H73" s="346">
        <f>H71*H72</f>
        <v>138758.39999999999</v>
      </c>
      <c r="I73" s="239" t="s">
        <v>306</v>
      </c>
      <c r="L73" s="202"/>
      <c r="M73" s="202"/>
      <c r="N73" s="224"/>
      <c r="O73" s="225"/>
      <c r="P73" s="63"/>
      <c r="T73" s="63"/>
      <c r="U73" s="63"/>
    </row>
    <row r="74" spans="2:21" ht="17.600000000000001" x14ac:dyDescent="0.4">
      <c r="B74" s="237"/>
      <c r="C74" s="84"/>
      <c r="D74" s="242"/>
      <c r="E74" s="249"/>
      <c r="F74" s="247"/>
      <c r="G74" s="248"/>
      <c r="H74" s="348"/>
      <c r="I74" s="239"/>
      <c r="L74" s="202"/>
      <c r="M74" s="202"/>
      <c r="N74" s="224"/>
      <c r="O74" s="225"/>
      <c r="P74" s="63"/>
      <c r="T74" s="63"/>
      <c r="U74" s="63"/>
    </row>
    <row r="75" spans="2:21" ht="17.600000000000001" x14ac:dyDescent="0.4">
      <c r="B75" s="76" t="s">
        <v>273</v>
      </c>
      <c r="C75" s="147"/>
      <c r="D75" s="77" t="s">
        <v>4</v>
      </c>
      <c r="E75" s="147"/>
      <c r="F75" s="144">
        <f>((F34+F37-F64-(F14*F11))/((F11*F12))*100)</f>
        <v>155.70117945295644</v>
      </c>
      <c r="G75" s="251"/>
      <c r="H75" s="349"/>
      <c r="I75" s="250"/>
      <c r="J75" s="108" t="s">
        <v>40</v>
      </c>
      <c r="K75" s="297"/>
      <c r="L75" s="109"/>
      <c r="M75" s="110"/>
      <c r="N75" s="111"/>
      <c r="O75" s="63"/>
      <c r="T75" s="63"/>
      <c r="U75" s="63"/>
    </row>
    <row r="76" spans="2:21" ht="17.600000000000001" x14ac:dyDescent="0.4">
      <c r="B76" s="252"/>
      <c r="C76" s="81"/>
      <c r="D76" s="81"/>
      <c r="E76" s="81"/>
      <c r="F76" s="81"/>
      <c r="G76" s="81"/>
      <c r="H76" s="350"/>
      <c r="I76" s="81"/>
      <c r="J76" s="413">
        <f>M60</f>
        <v>72417.193801509653</v>
      </c>
      <c r="K76" s="24" t="s">
        <v>169</v>
      </c>
      <c r="O76" s="63"/>
      <c r="R76" s="63"/>
      <c r="S76" s="63"/>
      <c r="T76" s="63"/>
      <c r="U76" s="63"/>
    </row>
    <row r="77" spans="2:21" ht="15.45" x14ac:dyDescent="0.4">
      <c r="B77" s="237" t="s">
        <v>194</v>
      </c>
      <c r="C77" s="84"/>
      <c r="D77" s="84"/>
      <c r="E77" s="81"/>
      <c r="F77" s="253"/>
      <c r="G77" s="81"/>
      <c r="H77" s="81"/>
      <c r="I77" s="81"/>
      <c r="J77" s="414">
        <f>J82</f>
        <v>1360.943562365127</v>
      </c>
      <c r="K77" s="202" t="s">
        <v>366</v>
      </c>
      <c r="L77" s="229"/>
      <c r="M77" s="113"/>
      <c r="N77" s="114"/>
      <c r="O77" s="63"/>
      <c r="P77" s="63"/>
      <c r="S77" s="63"/>
      <c r="T77" s="63"/>
      <c r="U77" s="63"/>
    </row>
    <row r="78" spans="2:21" ht="15.45" x14ac:dyDescent="0.4">
      <c r="B78" s="242"/>
      <c r="C78" s="84"/>
      <c r="D78" s="84" t="s">
        <v>195</v>
      </c>
      <c r="E78" s="81"/>
      <c r="F78" s="253"/>
      <c r="G78" s="81"/>
      <c r="H78" s="81"/>
      <c r="I78" s="81"/>
      <c r="J78" s="415">
        <f>J77/J76</f>
        <v>1.8793099965946983E-2</v>
      </c>
      <c r="K78" s="202"/>
      <c r="L78" s="229"/>
      <c r="M78" s="113"/>
      <c r="N78" s="114"/>
      <c r="O78" s="63"/>
      <c r="P78" s="63"/>
      <c r="S78" s="63"/>
      <c r="T78" s="63"/>
      <c r="U78" s="63"/>
    </row>
    <row r="79" spans="2:21" ht="15.45" x14ac:dyDescent="0.4">
      <c r="B79" s="237" t="s">
        <v>272</v>
      </c>
      <c r="C79" s="84"/>
      <c r="D79" s="84"/>
      <c r="E79" s="254">
        <v>5</v>
      </c>
      <c r="F79" s="247">
        <f>((($F$58+Q55+($F$30-$F$27)*$F$31)/($F$24*$F$31))*100)/(1-$E$27*0.01)</f>
        <v>144.84582859177371</v>
      </c>
      <c r="G79" s="81"/>
      <c r="H79" s="81"/>
      <c r="I79" s="81"/>
      <c r="J79" s="112">
        <f>(100-D61)</f>
        <v>70</v>
      </c>
      <c r="K79" s="298"/>
      <c r="L79" s="113" t="s">
        <v>37</v>
      </c>
      <c r="M79" s="113"/>
      <c r="N79" s="114"/>
      <c r="O79" s="63"/>
      <c r="P79" s="63"/>
      <c r="S79" s="63"/>
      <c r="T79" s="63"/>
      <c r="U79" s="63"/>
    </row>
    <row r="80" spans="2:21" ht="15.45" x14ac:dyDescent="0.4">
      <c r="B80" s="237"/>
      <c r="C80" s="84"/>
      <c r="D80" s="84"/>
      <c r="E80" s="255"/>
      <c r="F80" s="247"/>
      <c r="G80" s="81"/>
      <c r="H80" s="81"/>
      <c r="I80" s="81"/>
      <c r="J80" s="257">
        <f>IF(J83=0,0,(J82/J83)*100)</f>
        <v>2.6847285665638547</v>
      </c>
      <c r="K80" s="299" t="s">
        <v>365</v>
      </c>
      <c r="L80" s="202" t="s">
        <v>36</v>
      </c>
      <c r="M80" s="113"/>
      <c r="N80" s="114"/>
      <c r="O80" s="63"/>
      <c r="S80" s="63"/>
      <c r="T80" s="63"/>
      <c r="U80" s="63"/>
    </row>
    <row r="81" spans="2:19" ht="15.45" x14ac:dyDescent="0.4">
      <c r="B81" s="237" t="s">
        <v>271</v>
      </c>
      <c r="C81" s="77"/>
      <c r="D81" s="143" t="s">
        <v>189</v>
      </c>
      <c r="E81" s="256">
        <f>E73</f>
        <v>64</v>
      </c>
      <c r="F81" s="145">
        <f>((F79/(E81*0.01)))</f>
        <v>226.32160717464643</v>
      </c>
      <c r="G81" s="81"/>
      <c r="H81" s="81"/>
      <c r="I81" s="81"/>
      <c r="J81" s="115"/>
      <c r="K81" s="229"/>
      <c r="L81" s="113"/>
      <c r="M81" s="113"/>
      <c r="N81" s="114"/>
      <c r="O81" s="63"/>
      <c r="S81" s="63"/>
    </row>
    <row r="82" spans="2:19" ht="15.45" x14ac:dyDescent="0.4">
      <c r="B82" s="21" t="s">
        <v>177</v>
      </c>
      <c r="C82" s="21"/>
      <c r="D82" s="21"/>
      <c r="E82" s="21"/>
      <c r="F82" s="21"/>
      <c r="J82" s="116">
        <f>F66</f>
        <v>1360.943562365127</v>
      </c>
      <c r="K82" s="300"/>
      <c r="L82" s="113" t="s">
        <v>140</v>
      </c>
      <c r="M82" s="113"/>
      <c r="N82" s="114"/>
      <c r="O82" s="63"/>
      <c r="S82" s="63"/>
    </row>
    <row r="83" spans="2:19" ht="15.45" x14ac:dyDescent="0.4">
      <c r="B83" s="21"/>
      <c r="C83" s="21"/>
      <c r="D83" s="21"/>
      <c r="E83" s="21"/>
      <c r="F83" s="21"/>
      <c r="J83" s="117">
        <f>IF(D61=100,0,(((($F$58-$F$37)*0.5+$F$37)*(100-D61)*0.01)*($F$20/365)))</f>
        <v>50692.035661056754</v>
      </c>
      <c r="K83" s="301"/>
      <c r="L83" s="113" t="s">
        <v>35</v>
      </c>
      <c r="M83" s="113"/>
      <c r="N83" s="114"/>
      <c r="O83" s="63"/>
      <c r="S83" s="63"/>
    </row>
    <row r="84" spans="2:19" ht="15.45" x14ac:dyDescent="0.4">
      <c r="B84" s="1" t="s">
        <v>196</v>
      </c>
      <c r="C84" s="8"/>
      <c r="D84" s="6" t="s">
        <v>4</v>
      </c>
      <c r="E84" s="89" t="s">
        <v>133</v>
      </c>
      <c r="F84" s="7" t="s">
        <v>11</v>
      </c>
      <c r="G84" s="36"/>
      <c r="H84" s="36"/>
      <c r="J84" s="116" t="s">
        <v>197</v>
      </c>
      <c r="K84" s="300"/>
      <c r="L84" s="113"/>
      <c r="M84" s="113"/>
      <c r="N84" s="114"/>
      <c r="O84" s="63"/>
      <c r="S84" s="63"/>
    </row>
    <row r="85" spans="2:19" ht="15.45" x14ac:dyDescent="0.4">
      <c r="B85" s="76" t="s">
        <v>367</v>
      </c>
      <c r="C85" s="148"/>
      <c r="D85" s="149">
        <f>E85/J27*100</f>
        <v>124.99459806091156</v>
      </c>
      <c r="E85" s="149">
        <f>(F58-F37+F62)/$F$31</f>
        <v>741.86692835376414</v>
      </c>
      <c r="F85" s="86">
        <f>(F64-F37)</f>
        <v>73444.825907022634</v>
      </c>
      <c r="G85" s="36"/>
      <c r="H85" s="36"/>
      <c r="J85" s="122" t="s">
        <v>39</v>
      </c>
      <c r="K85" s="302"/>
      <c r="L85" s="118">
        <f>IF(J79=0,0,(F69/F68))</f>
        <v>1.4285714285714286</v>
      </c>
      <c r="M85" s="412"/>
      <c r="N85" s="114"/>
      <c r="O85" s="63"/>
      <c r="S85" s="63"/>
    </row>
    <row r="86" spans="2:19" ht="15.45" x14ac:dyDescent="0.4">
      <c r="B86" s="237"/>
      <c r="C86" s="238"/>
      <c r="D86" s="239"/>
      <c r="E86" s="239"/>
      <c r="F86" s="70"/>
      <c r="G86" s="36"/>
      <c r="H86" s="36"/>
      <c r="J86" s="116"/>
      <c r="K86" s="300"/>
      <c r="L86" s="113"/>
      <c r="M86" s="113"/>
      <c r="N86" s="114"/>
      <c r="O86" s="63"/>
      <c r="S86" s="63"/>
    </row>
    <row r="87" spans="2:19" ht="15.45" x14ac:dyDescent="0.4">
      <c r="B87" s="76" t="s">
        <v>368</v>
      </c>
      <c r="C87" s="147"/>
      <c r="D87" s="240">
        <f>(((F33*H87*0.01)-(F12*F16*0.01))/(H87-F12))*100</f>
        <v>127.31076657871519</v>
      </c>
      <c r="E87" s="241">
        <f>J27*D87*0.01</f>
        <v>755.613833024119</v>
      </c>
      <c r="G87" s="36"/>
      <c r="H87" s="392">
        <f>(F24*(100-E31)*0.01)</f>
        <v>1387.5840000000001</v>
      </c>
      <c r="I87" t="s">
        <v>346</v>
      </c>
      <c r="J87" s="117">
        <f>IF($F$20=0,0,((($F$58-$F$37)*0.5+$F$37)*($F$20/365)))</f>
        <v>72417.193801509638</v>
      </c>
      <c r="K87" s="301"/>
      <c r="L87" s="113" t="s">
        <v>151</v>
      </c>
      <c r="M87" s="113"/>
      <c r="N87" s="114"/>
      <c r="O87" s="63"/>
      <c r="S87" s="63"/>
    </row>
    <row r="88" spans="2:19" ht="15.45" x14ac:dyDescent="0.4">
      <c r="D88" s="6" t="s">
        <v>4</v>
      </c>
      <c r="E88" s="12"/>
      <c r="F88" s="18"/>
      <c r="G88" s="36"/>
      <c r="H88" s="36"/>
      <c r="J88" s="119">
        <f>(F66+F56+F37)</f>
        <v>127877.27009297737</v>
      </c>
      <c r="K88" s="303"/>
      <c r="L88" s="120" t="s">
        <v>143</v>
      </c>
      <c r="M88" s="120"/>
      <c r="N88" s="121"/>
      <c r="O88" s="63"/>
      <c r="S88" s="63"/>
    </row>
    <row r="89" spans="2:19" ht="15.45" x14ac:dyDescent="0.4">
      <c r="B89" s="76" t="s">
        <v>144</v>
      </c>
      <c r="C89" s="150"/>
      <c r="D89" s="149">
        <f>(F58-F37-SUM(F45:F48))/(I25*0.01)</f>
        <v>118.89120193878664</v>
      </c>
      <c r="E89" s="38"/>
      <c r="G89" s="36"/>
      <c r="H89" s="36"/>
      <c r="S89" s="63"/>
    </row>
    <row r="90" spans="2:19" ht="15.45" x14ac:dyDescent="0.4">
      <c r="B90" s="1" t="s">
        <v>139</v>
      </c>
      <c r="C90" s="8"/>
      <c r="D90" s="123">
        <f>D89/D85</f>
        <v>0.95117072084066667</v>
      </c>
      <c r="E90" s="13"/>
      <c r="F90" s="19"/>
      <c r="G90" s="13"/>
      <c r="H90" s="13"/>
      <c r="S90" s="63"/>
    </row>
    <row r="91" spans="2:19" ht="15.45" x14ac:dyDescent="0.4">
      <c r="B91" s="1"/>
      <c r="C91" s="8"/>
      <c r="D91" s="6" t="s">
        <v>4</v>
      </c>
      <c r="E91" s="13"/>
      <c r="F91" s="19"/>
      <c r="G91" s="13"/>
      <c r="H91" s="13"/>
      <c r="S91" s="63"/>
    </row>
    <row r="92" spans="2:19" ht="15" x14ac:dyDescent="0.35">
      <c r="B92" s="8" t="s">
        <v>141</v>
      </c>
      <c r="D92" s="39">
        <f>F33</f>
        <v>143.28652968036531</v>
      </c>
      <c r="E92" s="13"/>
      <c r="F92" s="19"/>
      <c r="G92" s="13"/>
      <c r="H92" s="13"/>
      <c r="S92" s="63"/>
    </row>
    <row r="93" spans="2:19" ht="15" x14ac:dyDescent="0.35">
      <c r="B93" s="8" t="s">
        <v>186</v>
      </c>
      <c r="D93" s="107">
        <f>F16</f>
        <v>155.0204081632653</v>
      </c>
      <c r="E93" s="13"/>
      <c r="F93" s="19"/>
      <c r="G93" s="13"/>
      <c r="H93" s="13"/>
      <c r="S93" s="63"/>
    </row>
    <row r="94" spans="2:19" ht="15.45" x14ac:dyDescent="0.4">
      <c r="B94" s="76" t="s">
        <v>198</v>
      </c>
      <c r="C94" s="143"/>
      <c r="D94" s="151">
        <f>D92-D93</f>
        <v>-11.733878482899996</v>
      </c>
      <c r="E94" s="13"/>
      <c r="F94" s="19"/>
      <c r="G94" s="13"/>
      <c r="H94" s="13"/>
      <c r="L94" s="95"/>
      <c r="M94" s="63"/>
      <c r="N94" s="63"/>
      <c r="O94" s="63"/>
      <c r="P94" s="63"/>
      <c r="S94" s="63"/>
    </row>
    <row r="95" spans="2:19" ht="15.45" x14ac:dyDescent="0.4">
      <c r="B95" s="226"/>
      <c r="C95" s="227"/>
      <c r="D95" s="230"/>
      <c r="E95" s="231"/>
      <c r="F95" s="19"/>
      <c r="G95" s="13"/>
      <c r="H95" s="13"/>
      <c r="L95" s="95"/>
      <c r="M95" s="63"/>
      <c r="N95" s="63"/>
      <c r="O95" s="63"/>
      <c r="P95" s="63"/>
      <c r="S95" s="63"/>
    </row>
    <row r="96" spans="2:19" ht="15.45" x14ac:dyDescent="0.4">
      <c r="B96" s="1" t="s">
        <v>187</v>
      </c>
      <c r="D96" s="6" t="s">
        <v>6</v>
      </c>
      <c r="G96" s="36"/>
      <c r="H96" s="36"/>
      <c r="L96" s="63"/>
      <c r="M96" s="63"/>
      <c r="N96" s="63"/>
      <c r="O96" s="63"/>
      <c r="P96" s="63"/>
      <c r="S96" s="63"/>
    </row>
    <row r="97" spans="2:13" ht="15.45" x14ac:dyDescent="0.4">
      <c r="B97" s="1" t="s">
        <v>38</v>
      </c>
      <c r="D97" s="152">
        <f>J98</f>
        <v>-94.819220063838344</v>
      </c>
    </row>
    <row r="98" spans="2:13" ht="15.45" x14ac:dyDescent="0.4">
      <c r="B98" s="1" t="s">
        <v>53</v>
      </c>
      <c r="C98" s="6"/>
      <c r="D98" s="59">
        <f>J99</f>
        <v>108.5661247341932</v>
      </c>
      <c r="G98" s="20"/>
      <c r="H98" s="20"/>
      <c r="I98" t="s">
        <v>14</v>
      </c>
      <c r="J98" s="22">
        <f>((F11*F12*0.01)*(F33-F16)/F31)</f>
        <v>-94.819220063838344</v>
      </c>
    </row>
    <row r="99" spans="2:13" ht="15.45" x14ac:dyDescent="0.4">
      <c r="B99" s="76" t="s">
        <v>190</v>
      </c>
      <c r="C99" s="77"/>
      <c r="D99" s="307">
        <f>F66/F31</f>
        <v>13.746904670354818</v>
      </c>
      <c r="G99" s="20"/>
      <c r="H99" s="20"/>
      <c r="I99" t="s">
        <v>15</v>
      </c>
      <c r="J99" s="23">
        <f>((F33-J106)*J105*0.01)/F31</f>
        <v>108.5661247341932</v>
      </c>
    </row>
    <row r="100" spans="2:13" ht="15.45" x14ac:dyDescent="0.4">
      <c r="D100" s="21"/>
      <c r="G100" s="59"/>
      <c r="H100" s="59"/>
      <c r="I100" s="150" t="s">
        <v>16</v>
      </c>
      <c r="J100" s="162">
        <f>(J98+J99)</f>
        <v>13.746904670354851</v>
      </c>
    </row>
    <row r="101" spans="2:13" x14ac:dyDescent="0.3">
      <c r="B101" t="s">
        <v>148</v>
      </c>
    </row>
    <row r="102" spans="2:13" x14ac:dyDescent="0.3">
      <c r="B102" s="25"/>
      <c r="J102" s="40" t="s">
        <v>17</v>
      </c>
      <c r="K102" s="40" t="s">
        <v>123</v>
      </c>
    </row>
    <row r="103" spans="2:13" ht="15.45" x14ac:dyDescent="0.4">
      <c r="B103" s="416" t="s">
        <v>41</v>
      </c>
      <c r="C103" s="416"/>
      <c r="D103" s="416"/>
      <c r="E103" s="416"/>
      <c r="F103" s="416"/>
      <c r="I103" t="s">
        <v>98</v>
      </c>
      <c r="J103" s="4">
        <f>F11*F12</f>
        <v>80000</v>
      </c>
      <c r="K103" s="79">
        <f>J103/$F$31</f>
        <v>808.08080808080808</v>
      </c>
    </row>
    <row r="104" spans="2:13" ht="15" x14ac:dyDescent="0.35">
      <c r="B104" s="13"/>
      <c r="C104" s="13" t="s">
        <v>18</v>
      </c>
      <c r="D104" s="29">
        <f>'1. CattleFinisih&amp;ROI Projection'!F10</f>
        <v>44658</v>
      </c>
      <c r="E104" s="29">
        <f>'1. CattleFinisih&amp;ROI Projection'!F19</f>
        <v>44823</v>
      </c>
      <c r="F104" s="13"/>
      <c r="I104" s="24" t="s">
        <v>205</v>
      </c>
      <c r="J104" s="4">
        <f>F31*F24</f>
        <v>138758.39999999999</v>
      </c>
      <c r="K104" s="79">
        <f>J104/$F$31</f>
        <v>1401.6</v>
      </c>
    </row>
    <row r="105" spans="2:13" ht="15" x14ac:dyDescent="0.35">
      <c r="B105" s="13"/>
      <c r="C105" s="13"/>
      <c r="D105" s="13"/>
      <c r="E105" s="13"/>
      <c r="F105" s="397">
        <v>44817</v>
      </c>
      <c r="I105" s="24" t="s">
        <v>233</v>
      </c>
      <c r="J105" s="4">
        <f>J104-J103</f>
        <v>58758.399999999994</v>
      </c>
      <c r="K105" s="79">
        <f>J105/$F$31</f>
        <v>593.51919191919183</v>
      </c>
    </row>
    <row r="106" spans="2:13" ht="15.45" x14ac:dyDescent="0.4">
      <c r="B106" s="13" t="s">
        <v>19</v>
      </c>
      <c r="C106" s="19" t="s">
        <v>8</v>
      </c>
      <c r="D106" s="58">
        <f>'1. CattleFinisih&amp;ROI Projection'!F12</f>
        <v>800</v>
      </c>
      <c r="E106" s="58">
        <f>F24</f>
        <v>1401.6</v>
      </c>
      <c r="F106" s="396" t="s">
        <v>334</v>
      </c>
      <c r="I106" s="150" t="s">
        <v>347</v>
      </c>
      <c r="J106" s="163">
        <f>((F58+F62-F37)/J105)*100</f>
        <v>124.99459806091153</v>
      </c>
    </row>
    <row r="107" spans="2:13" ht="15" x14ac:dyDescent="0.35">
      <c r="B107" s="13" t="s">
        <v>20</v>
      </c>
      <c r="C107" s="13"/>
      <c r="D107" s="373"/>
      <c r="E107" s="376"/>
      <c r="F107" s="35">
        <v>144</v>
      </c>
    </row>
    <row r="108" spans="2:13" ht="15" x14ac:dyDescent="0.35">
      <c r="B108" s="13" t="s">
        <v>21</v>
      </c>
      <c r="C108" s="13"/>
      <c r="D108" s="395" t="s">
        <v>330</v>
      </c>
      <c r="E108" s="395" t="s">
        <v>362</v>
      </c>
      <c r="F108" s="13"/>
      <c r="M108" s="275"/>
    </row>
    <row r="109" spans="2:13" ht="15" x14ac:dyDescent="0.35">
      <c r="B109" s="13" t="s">
        <v>49</v>
      </c>
      <c r="C109" s="19" t="s">
        <v>4</v>
      </c>
      <c r="D109" s="394">
        <v>154</v>
      </c>
      <c r="E109" s="35">
        <v>144</v>
      </c>
      <c r="F109" s="13"/>
    </row>
    <row r="110" spans="2:13" ht="15" x14ac:dyDescent="0.35">
      <c r="B110" s="13" t="s">
        <v>48</v>
      </c>
      <c r="C110" s="19" t="s">
        <v>8</v>
      </c>
      <c r="D110" s="43">
        <v>750</v>
      </c>
      <c r="E110" s="43">
        <v>1450</v>
      </c>
      <c r="F110" s="13"/>
      <c r="I110" s="3" t="s">
        <v>25</v>
      </c>
      <c r="J110" s="3"/>
    </row>
    <row r="111" spans="2:13" ht="15" x14ac:dyDescent="0.35">
      <c r="B111" s="13" t="s">
        <v>22</v>
      </c>
      <c r="C111" s="19" t="s">
        <v>8</v>
      </c>
      <c r="D111" s="43">
        <v>0</v>
      </c>
      <c r="E111" s="43">
        <v>0</v>
      </c>
      <c r="F111" s="13"/>
      <c r="I111" s="3">
        <f>IF((D106&gt;(D110+D111)),(-D113*0.01*(D106-D110)),0)</f>
        <v>0</v>
      </c>
      <c r="J111" s="3"/>
      <c r="K111" t="s">
        <v>27</v>
      </c>
    </row>
    <row r="112" spans="2:13" ht="15" x14ac:dyDescent="0.35">
      <c r="B112" s="13" t="s">
        <v>23</v>
      </c>
      <c r="C112" s="19" t="s">
        <v>8</v>
      </c>
      <c r="D112" s="43">
        <v>0</v>
      </c>
      <c r="E112" s="43">
        <v>0</v>
      </c>
      <c r="F112" s="13"/>
      <c r="I112" s="3">
        <f>IF((D106&lt;D110-D112),(D113*0.01*(D110-D106)),0)</f>
        <v>0</v>
      </c>
      <c r="J112" s="3"/>
      <c r="K112" t="s">
        <v>28</v>
      </c>
    </row>
    <row r="113" spans="2:12" ht="15" x14ac:dyDescent="0.35">
      <c r="B113" s="13" t="s">
        <v>24</v>
      </c>
      <c r="C113" s="19" t="s">
        <v>4</v>
      </c>
      <c r="D113" s="35">
        <v>0</v>
      </c>
      <c r="E113" s="35">
        <v>0</v>
      </c>
      <c r="F113" s="13"/>
      <c r="I113" s="3">
        <f>(I111+I112)</f>
        <v>0</v>
      </c>
      <c r="J113" s="3"/>
      <c r="K113" t="s">
        <v>29</v>
      </c>
    </row>
    <row r="114" spans="2:12" ht="15.45" x14ac:dyDescent="0.4">
      <c r="B114" s="1" t="s">
        <v>26</v>
      </c>
      <c r="C114" s="6" t="s">
        <v>4</v>
      </c>
      <c r="D114" s="42">
        <f>I113</f>
        <v>0</v>
      </c>
      <c r="E114" s="42">
        <f>J123</f>
        <v>0</v>
      </c>
      <c r="F114" s="13"/>
    </row>
    <row r="115" spans="2:12" ht="15" x14ac:dyDescent="0.35">
      <c r="B115" s="13"/>
      <c r="C115" s="13"/>
      <c r="D115" s="5"/>
      <c r="E115" s="5"/>
      <c r="F115" s="13"/>
    </row>
    <row r="116" spans="2:12" ht="15" x14ac:dyDescent="0.35">
      <c r="B116" s="8" t="s">
        <v>248</v>
      </c>
      <c r="C116" s="19" t="s">
        <v>4</v>
      </c>
      <c r="D116" s="291">
        <v>0</v>
      </c>
      <c r="E116" s="291">
        <v>0</v>
      </c>
      <c r="F116" s="13"/>
    </row>
    <row r="117" spans="2:12" ht="15" x14ac:dyDescent="0.35">
      <c r="B117" s="13"/>
      <c r="C117" s="19"/>
      <c r="D117" s="102"/>
      <c r="E117" s="102"/>
      <c r="F117" s="13"/>
      <c r="J117" s="3"/>
      <c r="K117" s="3"/>
    </row>
    <row r="118" spans="2:12" ht="15" x14ac:dyDescent="0.35">
      <c r="B118" s="13" t="s">
        <v>46</v>
      </c>
      <c r="C118" s="13"/>
      <c r="D118" s="5"/>
      <c r="E118" s="5"/>
      <c r="F118" s="13"/>
    </row>
    <row r="119" spans="2:12" ht="15" x14ac:dyDescent="0.35">
      <c r="B119" s="13" t="s">
        <v>137</v>
      </c>
      <c r="C119" s="19" t="s">
        <v>4</v>
      </c>
      <c r="D119" s="35">
        <v>0</v>
      </c>
      <c r="E119" s="35">
        <v>0</v>
      </c>
      <c r="F119" s="13"/>
    </row>
    <row r="120" spans="2:12" ht="15" x14ac:dyDescent="0.35">
      <c r="B120" s="13" t="s">
        <v>30</v>
      </c>
      <c r="C120" s="19" t="s">
        <v>4</v>
      </c>
      <c r="D120" s="35">
        <v>0</v>
      </c>
      <c r="E120" s="35">
        <v>0</v>
      </c>
      <c r="F120" s="13"/>
      <c r="J120" s="3" t="s">
        <v>25</v>
      </c>
      <c r="K120" s="3"/>
    </row>
    <row r="121" spans="2:12" ht="15" x14ac:dyDescent="0.35">
      <c r="B121" s="13" t="s">
        <v>31</v>
      </c>
      <c r="C121" s="19" t="s">
        <v>4</v>
      </c>
      <c r="D121" s="35">
        <v>0</v>
      </c>
      <c r="E121" s="35">
        <v>0</v>
      </c>
      <c r="F121" s="13"/>
      <c r="J121" s="3">
        <f>IF((E106&gt;(E110+E111)),(-E113*0.01*(E106-E110)),0)</f>
        <v>0</v>
      </c>
      <c r="K121" s="3"/>
      <c r="L121" t="s">
        <v>27</v>
      </c>
    </row>
    <row r="122" spans="2:12" ht="15" x14ac:dyDescent="0.35">
      <c r="B122" s="13" t="s">
        <v>32</v>
      </c>
      <c r="C122" s="19" t="s">
        <v>4</v>
      </c>
      <c r="D122" s="35">
        <v>0</v>
      </c>
      <c r="E122" s="35">
        <v>0</v>
      </c>
      <c r="F122" s="13"/>
      <c r="J122" s="3">
        <f>IF((E106&lt;E110-E112),(E113*0.01*(E110-E106)),0)</f>
        <v>0</v>
      </c>
      <c r="K122" s="3"/>
      <c r="L122" t="s">
        <v>28</v>
      </c>
    </row>
    <row r="123" spans="2:12" ht="15" x14ac:dyDescent="0.35">
      <c r="B123" s="26" t="s">
        <v>337</v>
      </c>
      <c r="C123" s="19" t="s">
        <v>4</v>
      </c>
      <c r="D123" s="35">
        <v>0</v>
      </c>
      <c r="E123" s="35">
        <v>0</v>
      </c>
      <c r="F123" s="13"/>
      <c r="J123" s="3">
        <f>(J121+J122)</f>
        <v>0</v>
      </c>
      <c r="K123" s="3"/>
      <c r="L123" t="s">
        <v>29</v>
      </c>
    </row>
    <row r="124" spans="2:12" ht="15" x14ac:dyDescent="0.35">
      <c r="B124" s="26" t="s">
        <v>337</v>
      </c>
      <c r="C124" s="19" t="s">
        <v>4</v>
      </c>
      <c r="D124" s="35">
        <v>0</v>
      </c>
      <c r="E124" s="35">
        <v>0</v>
      </c>
      <c r="F124" s="13"/>
    </row>
    <row r="125" spans="2:12" ht="15" x14ac:dyDescent="0.35">
      <c r="B125" s="13" t="s">
        <v>47</v>
      </c>
      <c r="C125" s="19" t="s">
        <v>4</v>
      </c>
      <c r="D125" s="30">
        <f>SUM(D119:D124)</f>
        <v>0</v>
      </c>
      <c r="E125" s="30">
        <f>SUM(E119:E124)</f>
        <v>0</v>
      </c>
      <c r="F125" s="13"/>
      <c r="H125" s="22">
        <f>D99</f>
        <v>13.746904670354818</v>
      </c>
      <c r="I125" s="24" t="s">
        <v>63</v>
      </c>
    </row>
    <row r="126" spans="2:12" ht="15" x14ac:dyDescent="0.35">
      <c r="B126" s="13"/>
      <c r="C126" s="13"/>
      <c r="D126" s="5"/>
      <c r="E126" s="5"/>
      <c r="F126" s="13"/>
    </row>
    <row r="127" spans="2:12" ht="15.45" x14ac:dyDescent="0.4">
      <c r="B127" s="76" t="s">
        <v>261</v>
      </c>
      <c r="C127" s="77" t="s">
        <v>4</v>
      </c>
      <c r="D127" s="234">
        <f>(D109+D116+D114+D125)</f>
        <v>154</v>
      </c>
      <c r="E127" s="234">
        <f>(E109+E116+E114+E125)</f>
        <v>144</v>
      </c>
      <c r="F127" s="13"/>
    </row>
    <row r="128" spans="2:12" ht="15.45" x14ac:dyDescent="0.4">
      <c r="B128" s="1" t="s">
        <v>149</v>
      </c>
      <c r="C128" s="13"/>
      <c r="D128" s="19"/>
      <c r="E128" s="19"/>
      <c r="F128" s="19"/>
    </row>
    <row r="129" spans="2:6" ht="15" x14ac:dyDescent="0.35">
      <c r="B129" s="24" t="s">
        <v>183</v>
      </c>
      <c r="C129" s="13"/>
      <c r="D129" s="19"/>
      <c r="E129" s="19"/>
      <c r="F129" s="19"/>
    </row>
    <row r="130" spans="2:6" ht="15" x14ac:dyDescent="0.35">
      <c r="B130" s="24" t="s">
        <v>182</v>
      </c>
      <c r="C130" s="13"/>
      <c r="D130" s="13"/>
      <c r="E130" s="31"/>
      <c r="F130" s="13"/>
    </row>
    <row r="131" spans="2:6" ht="15" x14ac:dyDescent="0.35">
      <c r="B131" s="24" t="s">
        <v>184</v>
      </c>
      <c r="C131" s="13"/>
      <c r="D131" s="13"/>
      <c r="E131" s="32"/>
      <c r="F131" s="13"/>
    </row>
    <row r="132" spans="2:6" ht="15" x14ac:dyDescent="0.35">
      <c r="B132" s="24" t="s">
        <v>185</v>
      </c>
      <c r="C132" s="13"/>
      <c r="D132" s="13"/>
      <c r="E132" s="13"/>
      <c r="F132" s="13"/>
    </row>
    <row r="134" spans="2:6" ht="15" x14ac:dyDescent="0.35">
      <c r="B134" s="13"/>
      <c r="D134" s="60"/>
      <c r="E134" s="8"/>
      <c r="F134" s="60"/>
    </row>
  </sheetData>
  <mergeCells count="4">
    <mergeCell ref="B103:F103"/>
    <mergeCell ref="C39:D39"/>
    <mergeCell ref="D9:F9"/>
    <mergeCell ref="B1:G1"/>
  </mergeCells>
  <phoneticPr fontId="0" type="noConversion"/>
  <printOptions horizontalCentered="1"/>
  <pageMargins left="0.75" right="0.5" top="0.52" bottom="0.75" header="0.5" footer="0.5"/>
  <pageSetup scale="60" orientation="portrait" horizontalDpi="4294967292" r:id="rId1"/>
  <headerFooter alignWithMargins="0">
    <oddFooter>&amp;L&amp;F&amp;R&amp;A 
Page &amp;P of &amp;N</oddFooter>
  </headerFooter>
  <rowBreaks count="1" manualBreakCount="1">
    <brk id="75" min="1" max="6" man="1"/>
  </rowBreaks>
  <colBreaks count="1" manualBreakCount="1">
    <brk id="8" max="14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67"/>
  <sheetViews>
    <sheetView topLeftCell="A15" zoomScaleNormal="100" workbookViewId="0">
      <selection activeCell="E30" sqref="E30"/>
    </sheetView>
  </sheetViews>
  <sheetFormatPr defaultRowHeight="12.45" x14ac:dyDescent="0.3"/>
  <cols>
    <col min="1" max="1" width="4.4609375" customWidth="1"/>
    <col min="2" max="2" width="35.15234375" customWidth="1"/>
    <col min="3" max="3" width="12.84375" customWidth="1"/>
    <col min="4" max="4" width="15.15234375" customWidth="1"/>
    <col min="5" max="5" width="15.69140625" customWidth="1"/>
    <col min="6" max="6" width="12" customWidth="1"/>
    <col min="7" max="7" width="14.53515625" customWidth="1"/>
    <col min="8" max="8" width="11" customWidth="1"/>
    <col min="9" max="9" width="31.4609375" customWidth="1"/>
    <col min="10" max="10" width="20.84375" customWidth="1"/>
    <col min="11" max="11" width="15.23046875" customWidth="1"/>
    <col min="12" max="12" width="14.53515625" customWidth="1"/>
    <col min="13" max="13" width="11.69140625" bestFit="1" customWidth="1"/>
    <col min="14" max="14" width="13.4609375" customWidth="1"/>
    <col min="15" max="15" width="12.84375" customWidth="1"/>
    <col min="16" max="16" width="16.4609375" customWidth="1"/>
  </cols>
  <sheetData>
    <row r="1" spans="2:12" ht="17.600000000000001" x14ac:dyDescent="0.4">
      <c r="B1" s="422" t="s">
        <v>232</v>
      </c>
      <c r="C1" s="424"/>
      <c r="D1" s="424"/>
      <c r="E1" s="424"/>
      <c r="F1" s="423"/>
      <c r="G1" s="423"/>
      <c r="H1" s="355"/>
      <c r="I1" s="8"/>
      <c r="J1" s="8"/>
    </row>
    <row r="2" spans="2:12" ht="15.45" x14ac:dyDescent="0.4">
      <c r="B2" s="1"/>
      <c r="C2" s="8" t="s">
        <v>80</v>
      </c>
      <c r="D2" s="8" t="s">
        <v>245</v>
      </c>
      <c r="E2" s="8" t="s">
        <v>215</v>
      </c>
      <c r="F2" s="8"/>
      <c r="G2" s="8"/>
      <c r="H2" s="8"/>
      <c r="I2" s="8"/>
      <c r="J2" s="8"/>
    </row>
    <row r="3" spans="2:12" ht="15.45" x14ac:dyDescent="0.4">
      <c r="B3" s="8" t="s">
        <v>97</v>
      </c>
      <c r="C3" s="264">
        <f>'1. CattleFinisih&amp;ROI Projection'!F10</f>
        <v>44658</v>
      </c>
      <c r="D3" s="264">
        <f>'1. CattleFinisih&amp;ROI Projection'!F19</f>
        <v>44823</v>
      </c>
      <c r="E3" s="308">
        <f>'1. CattleFinisih&amp;ROI Projection'!F20</f>
        <v>165</v>
      </c>
      <c r="F3" s="53" t="s">
        <v>267</v>
      </c>
      <c r="G3" s="8"/>
      <c r="H3" s="8"/>
      <c r="I3" s="8"/>
      <c r="J3" s="8"/>
    </row>
    <row r="4" spans="2:12" ht="15" x14ac:dyDescent="0.35">
      <c r="B4" s="8" t="s">
        <v>246</v>
      </c>
      <c r="C4" s="53">
        <f>'1. CattleFinisih&amp;ROI Projection'!F12</f>
        <v>800</v>
      </c>
      <c r="D4" s="276">
        <f>'1. CattleFinisih&amp;ROI Projection'!F24</f>
        <v>1401.6</v>
      </c>
      <c r="E4" s="53">
        <f>'1. CattleFinisih&amp;ROI Projection'!J27</f>
        <v>593.51919191919183</v>
      </c>
      <c r="F4" s="265">
        <f>E4/E3</f>
        <v>3.5970860116314656</v>
      </c>
      <c r="G4" s="8"/>
      <c r="H4" s="8"/>
      <c r="I4" s="8" t="s">
        <v>219</v>
      </c>
      <c r="J4" s="53" t="str">
        <f>'1. CattleFinisih&amp;ROI Projection'!J36</f>
        <v>$/BU. Corn As Fed*</v>
      </c>
      <c r="K4" s="24" t="s">
        <v>3</v>
      </c>
    </row>
    <row r="5" spans="2:12" ht="15" x14ac:dyDescent="0.35">
      <c r="B5" s="8"/>
      <c r="C5" s="53"/>
      <c r="D5" s="53"/>
      <c r="E5" s="8"/>
      <c r="F5" s="8"/>
      <c r="G5" s="8"/>
      <c r="H5" s="8"/>
      <c r="I5" s="8"/>
      <c r="J5" s="260">
        <f>'1. CattleFinisih&amp;ROI Projection'!J38</f>
        <v>85.5</v>
      </c>
      <c r="K5" s="24" t="s">
        <v>3</v>
      </c>
    </row>
    <row r="6" spans="2:12" ht="15" x14ac:dyDescent="0.35">
      <c r="B6" s="8"/>
      <c r="C6" s="8" t="s">
        <v>221</v>
      </c>
      <c r="D6" s="8" t="s">
        <v>222</v>
      </c>
      <c r="E6" s="8" t="s">
        <v>231</v>
      </c>
      <c r="F6" s="8"/>
      <c r="G6" s="8"/>
      <c r="H6" s="8"/>
      <c r="I6" s="8"/>
      <c r="J6" s="8" t="s">
        <v>225</v>
      </c>
      <c r="K6" s="24" t="s">
        <v>222</v>
      </c>
      <c r="L6" s="8" t="s">
        <v>222</v>
      </c>
    </row>
    <row r="7" spans="2:12" ht="15" x14ac:dyDescent="0.35">
      <c r="B7" s="8" t="s">
        <v>235</v>
      </c>
      <c r="C7" s="8"/>
      <c r="D7" s="296">
        <v>10</v>
      </c>
      <c r="E7" s="8" t="s">
        <v>3</v>
      </c>
      <c r="F7" s="8"/>
      <c r="G7" s="8"/>
      <c r="H7" s="8"/>
      <c r="I7" s="8" t="s">
        <v>226</v>
      </c>
      <c r="J7" s="155">
        <f>'1. CattleFinisih&amp;ROI Projection'!F43</f>
        <v>59933.567999999992</v>
      </c>
      <c r="K7" s="36">
        <f>(('1. CattleFinisih&amp;ROI Projection'!I25*'1. CattleFinisih&amp;ROI Projection'!E39)/2000)*D10</f>
        <v>65926.924800000008</v>
      </c>
      <c r="L7" s="221">
        <f>K7-J7</f>
        <v>5993.3568000000159</v>
      </c>
    </row>
    <row r="8" spans="2:12" ht="15" x14ac:dyDescent="0.35">
      <c r="B8" s="8" t="s">
        <v>219</v>
      </c>
      <c r="C8" s="8"/>
      <c r="D8" s="296">
        <v>85.5</v>
      </c>
      <c r="E8" s="8" t="s">
        <v>3</v>
      </c>
      <c r="F8" s="8"/>
      <c r="G8" s="8"/>
      <c r="H8" s="8"/>
      <c r="I8" s="8"/>
      <c r="J8" s="155"/>
      <c r="K8" s="36"/>
      <c r="L8" s="221"/>
    </row>
    <row r="9" spans="2:12" ht="15" x14ac:dyDescent="0.35">
      <c r="B9" s="8"/>
      <c r="C9" s="8"/>
      <c r="D9" s="277"/>
      <c r="E9" s="10" t="s">
        <v>247</v>
      </c>
      <c r="F9" s="10" t="s">
        <v>251</v>
      </c>
      <c r="G9" s="8"/>
      <c r="H9" s="8"/>
      <c r="I9" s="8"/>
      <c r="J9" s="155"/>
      <c r="K9" s="36"/>
      <c r="L9" s="221"/>
    </row>
    <row r="10" spans="2:12" ht="15" x14ac:dyDescent="0.35">
      <c r="B10" s="8" t="s">
        <v>276</v>
      </c>
      <c r="C10" s="60">
        <f>'1. CattleFinisih&amp;ROI Projection'!E41</f>
        <v>340</v>
      </c>
      <c r="D10" s="268">
        <f>((C10*(1+D7*0.01)))</f>
        <v>374.00000000000006</v>
      </c>
      <c r="E10" s="268">
        <f>D10-C10</f>
        <v>34.000000000000057</v>
      </c>
      <c r="F10" s="279"/>
      <c r="G10" s="8"/>
      <c r="H10" s="8"/>
      <c r="I10" s="8" t="s">
        <v>227</v>
      </c>
      <c r="J10" s="271">
        <f>'1. CattleFinisih&amp;ROI Projection'!F62</f>
        <v>1086.2579070226448</v>
      </c>
      <c r="K10" s="272">
        <f>I29</f>
        <v>1106.5778495979871</v>
      </c>
      <c r="L10" s="221">
        <f>K10-J10</f>
        <v>20.319942575342338</v>
      </c>
    </row>
    <row r="11" spans="2:12" ht="15" x14ac:dyDescent="0.35">
      <c r="B11" s="8" t="s">
        <v>277</v>
      </c>
      <c r="C11" s="268">
        <f>((C15*20)/($D$8*0.01))</f>
        <v>313.2832080200501</v>
      </c>
      <c r="D11" s="268">
        <f>((D15*20)/($D$8*0.01))</f>
        <v>344.61152882205516</v>
      </c>
      <c r="E11" s="268">
        <f>D11-C11</f>
        <v>31.328320802005067</v>
      </c>
      <c r="F11" s="279"/>
      <c r="G11" s="8"/>
      <c r="H11" s="8"/>
      <c r="I11" s="8"/>
      <c r="J11" s="271"/>
      <c r="K11" s="272"/>
      <c r="L11" s="221"/>
    </row>
    <row r="12" spans="2:12" ht="15" x14ac:dyDescent="0.35">
      <c r="B12" s="8" t="s">
        <v>279</v>
      </c>
      <c r="C12" s="326">
        <f>C10/C11</f>
        <v>1.08528</v>
      </c>
      <c r="D12" s="326">
        <f>D10/D11</f>
        <v>1.08528</v>
      </c>
      <c r="E12" s="268"/>
      <c r="F12" s="279"/>
      <c r="G12" s="8"/>
      <c r="H12" s="8"/>
      <c r="I12" s="8"/>
      <c r="J12" s="271"/>
      <c r="K12" s="272"/>
      <c r="L12" s="221"/>
    </row>
    <row r="13" spans="2:12" ht="15" x14ac:dyDescent="0.35">
      <c r="B13" s="60"/>
      <c r="D13" s="268"/>
      <c r="E13" s="268"/>
      <c r="F13" s="279"/>
      <c r="G13" s="8"/>
      <c r="H13" s="8"/>
      <c r="I13" s="8"/>
      <c r="J13" s="271"/>
      <c r="K13" s="272"/>
      <c r="L13" s="221"/>
    </row>
    <row r="14" spans="2:12" ht="15.45" x14ac:dyDescent="0.4">
      <c r="B14" s="76" t="s">
        <v>278</v>
      </c>
      <c r="C14" s="321">
        <f>'1. CattleFinisih&amp;ROI Projection'!J39</f>
        <v>7.5</v>
      </c>
      <c r="D14" s="321">
        <f>C14+C14*D7*0.01</f>
        <v>8.25</v>
      </c>
      <c r="E14" s="321">
        <f>D14-C14</f>
        <v>0.75</v>
      </c>
      <c r="F14" s="8"/>
      <c r="G14" s="8"/>
      <c r="H14" s="8"/>
      <c r="I14" s="8" t="s">
        <v>63</v>
      </c>
      <c r="J14" s="273">
        <f>'1. CattleFinisih&amp;ROI Projection'!F66</f>
        <v>1360.943562365127</v>
      </c>
      <c r="K14" s="274">
        <f>J14-L7-L10</f>
        <v>-4652.7331802102308</v>
      </c>
      <c r="L14" s="221">
        <f>K14-J14</f>
        <v>-6013.6767425753578</v>
      </c>
    </row>
    <row r="15" spans="2:12" ht="15" x14ac:dyDescent="0.35">
      <c r="B15" s="8" t="s">
        <v>220</v>
      </c>
      <c r="C15" s="371">
        <f>C14/56*100</f>
        <v>13.392857142857142</v>
      </c>
      <c r="D15" s="371">
        <f>D14/56*100</f>
        <v>14.732142857142858</v>
      </c>
      <c r="E15" s="371">
        <f>D15-C15</f>
        <v>1.3392857142857153</v>
      </c>
      <c r="F15" s="8"/>
      <c r="G15" s="8"/>
      <c r="H15" s="8"/>
      <c r="I15" s="8"/>
      <c r="J15" s="242"/>
      <c r="K15" s="81"/>
    </row>
    <row r="16" spans="2:12" ht="15" x14ac:dyDescent="0.35">
      <c r="B16" s="8"/>
      <c r="C16" s="371"/>
      <c r="D16" s="371"/>
      <c r="E16" s="371"/>
      <c r="F16" s="8"/>
      <c r="G16" s="8"/>
      <c r="H16" s="8"/>
      <c r="I16" s="8" t="s">
        <v>159</v>
      </c>
      <c r="J16" s="155">
        <f>'1. CattleFinisih&amp;ROI Projection'!F64+K48</f>
        <v>198451.15243763488</v>
      </c>
      <c r="K16" s="155">
        <f>J16+L7+L10</f>
        <v>204464.82918021025</v>
      </c>
      <c r="L16" s="221">
        <f>K16-J16</f>
        <v>6013.6767425753642</v>
      </c>
    </row>
    <row r="17" spans="2:15" ht="15" x14ac:dyDescent="0.35">
      <c r="B17" s="8" t="s">
        <v>223</v>
      </c>
      <c r="C17" s="371">
        <f>'1. CattleFinisih&amp;ROI Projection'!E43</f>
        <v>1.02</v>
      </c>
      <c r="D17" s="371">
        <f>D10/2000*'1. CattleFinisih&amp;ROI Projection'!E39</f>
        <v>1.1220000000000001</v>
      </c>
      <c r="E17" s="371">
        <f>D17-C17</f>
        <v>0.10200000000000009</v>
      </c>
      <c r="F17" s="279">
        <f>E17/C17</f>
        <v>0.10000000000000009</v>
      </c>
      <c r="G17" s="8"/>
      <c r="H17" s="8"/>
      <c r="I17" s="8" t="s">
        <v>229</v>
      </c>
      <c r="J17" s="60">
        <f>J16/J52</f>
        <v>143.01919915308542</v>
      </c>
      <c r="K17" s="60">
        <f>K16/J52</f>
        <v>147.35311821137333</v>
      </c>
      <c r="L17" s="154">
        <f>K17-J17</f>
        <v>4.3339190582879041</v>
      </c>
    </row>
    <row r="18" spans="2:15" ht="15" x14ac:dyDescent="0.35">
      <c r="B18" s="8"/>
      <c r="C18" s="371"/>
      <c r="D18" s="371"/>
      <c r="E18" s="371"/>
      <c r="F18" s="8"/>
      <c r="G18" s="8"/>
      <c r="H18" s="8"/>
      <c r="I18" s="8"/>
      <c r="J18" s="8"/>
    </row>
    <row r="19" spans="2:15" ht="15.45" x14ac:dyDescent="0.4">
      <c r="B19" s="1" t="s">
        <v>242</v>
      </c>
      <c r="C19" s="372">
        <f>'1. CattleFinisih&amp;ROI Projection'!D85</f>
        <v>124.99459806091156</v>
      </c>
      <c r="D19" s="372">
        <f>K19</f>
        <v>136.91404573575522</v>
      </c>
      <c r="E19" s="372">
        <f>D19-C19</f>
        <v>11.919447674843667</v>
      </c>
      <c r="F19" s="279">
        <f>E19/C19</f>
        <v>9.5359702417180933E-2</v>
      </c>
      <c r="G19" s="8"/>
      <c r="H19" s="8"/>
      <c r="I19" s="1" t="s">
        <v>230</v>
      </c>
      <c r="J19" s="44">
        <f>'1. CattleFinisih&amp;ROI Projection'!D85</f>
        <v>124.99459806091156</v>
      </c>
      <c r="K19" s="44">
        <f>((K16-'1. CattleFinisih&amp;ROI Projection'!F37)/'1. CattleFinisih&amp;ROI Projection'!L27)*100</f>
        <v>136.91404573575522</v>
      </c>
      <c r="L19" s="157">
        <f>K19-J19</f>
        <v>11.919447674843667</v>
      </c>
    </row>
    <row r="20" spans="2:15" ht="15.45" x14ac:dyDescent="0.4">
      <c r="B20" s="1"/>
      <c r="C20" s="372"/>
      <c r="D20" s="372"/>
      <c r="E20" s="371"/>
      <c r="F20" s="268"/>
      <c r="G20" s="8"/>
      <c r="H20" s="8"/>
      <c r="I20" s="1"/>
      <c r="J20" s="44"/>
      <c r="K20" s="44"/>
      <c r="L20" s="157"/>
    </row>
    <row r="21" spans="2:15" ht="15.45" x14ac:dyDescent="0.4">
      <c r="B21" s="1" t="s">
        <v>312</v>
      </c>
      <c r="C21" s="372">
        <f>J17</f>
        <v>143.01919915308542</v>
      </c>
      <c r="D21" s="372">
        <f>K17</f>
        <v>147.35311821137333</v>
      </c>
      <c r="E21" s="372">
        <f>D21-C21</f>
        <v>4.3339190582879041</v>
      </c>
      <c r="F21" s="279">
        <f>E21/C21</f>
        <v>3.0303057798896971E-2</v>
      </c>
      <c r="G21" s="8"/>
      <c r="H21" s="8"/>
      <c r="I21" s="190" t="s">
        <v>173</v>
      </c>
      <c r="J21" s="193"/>
    </row>
    <row r="22" spans="2:15" ht="15" x14ac:dyDescent="0.35">
      <c r="B22" s="8"/>
      <c r="C22" s="8"/>
      <c r="D22" s="8"/>
      <c r="E22" s="8"/>
      <c r="F22" s="8"/>
      <c r="G22" s="8"/>
      <c r="H22" s="8"/>
      <c r="I22" s="310">
        <f>(((SUM('1. CattleFinisih&amp;ROI Projection'!$F$43:$F$48)+'1. CattleFinisih&amp;ROI Projection'!$F$56+L7)*0.5))</f>
        <v>39175.962400000004</v>
      </c>
      <c r="J22" s="113" t="s">
        <v>59</v>
      </c>
    </row>
    <row r="23" spans="2:15" ht="15.45" x14ac:dyDescent="0.4">
      <c r="B23" s="76" t="s">
        <v>224</v>
      </c>
      <c r="C23" s="328">
        <f>'1. CattleFinisih&amp;ROI Projection'!F68</f>
        <v>1.8793099965946983E-2</v>
      </c>
      <c r="D23" s="329">
        <f>((K10+K14)/(((K16-K10-'1. CattleFinisih&amp;ROI Projection'!$F$37)*0.5+'1. CattleFinisih&amp;ROI Projection'!$F$37)*('1. CattleFinisih&amp;ROI Projection'!$F$20/365)))</f>
        <v>-4.7923852118104182E-2</v>
      </c>
      <c r="E23" s="328">
        <f>D23-C23</f>
        <v>-6.6716952084051165E-2</v>
      </c>
      <c r="F23" s="330">
        <f>E23/C23</f>
        <v>-3.5500770072495755</v>
      </c>
      <c r="G23" s="8"/>
      <c r="H23" s="8"/>
      <c r="I23" s="311">
        <f>I$22*'1. CattleFinisih&amp;ROI Projection'!$D$61*0.01</f>
        <v>11752.788720000002</v>
      </c>
      <c r="J23" s="113" t="s">
        <v>60</v>
      </c>
    </row>
    <row r="24" spans="2:15" ht="15" x14ac:dyDescent="0.35">
      <c r="B24" s="280" t="s">
        <v>236</v>
      </c>
      <c r="C24" s="8"/>
      <c r="D24" s="8"/>
      <c r="E24" s="8"/>
      <c r="F24" s="8"/>
      <c r="G24" s="8"/>
      <c r="H24" s="8"/>
    </row>
    <row r="25" spans="2:15" ht="15" x14ac:dyDescent="0.35">
      <c r="B25" s="63" t="s">
        <v>313</v>
      </c>
      <c r="D25" s="8"/>
      <c r="E25" s="8"/>
      <c r="F25" s="8"/>
      <c r="G25" s="8"/>
      <c r="H25" s="8"/>
    </row>
    <row r="26" spans="2:15" ht="14.15" x14ac:dyDescent="0.35">
      <c r="I26" s="312">
        <f>('1. CattleFinisih&amp;ROI Projection'!$N$41*'1. CattleFinisih&amp;ROI Projection'!$E$61*0.01*('1. CattleFinisih&amp;ROI Projection'!$F$20/365))/('1. CattleFinisih&amp;ROI Projection'!$N$40)*100</f>
        <v>0.67808219178082196</v>
      </c>
      <c r="J26" s="202" t="s">
        <v>176</v>
      </c>
    </row>
    <row r="27" spans="2:15" ht="17.600000000000001" x14ac:dyDescent="0.4">
      <c r="B27" s="422" t="s">
        <v>314</v>
      </c>
      <c r="C27" s="423"/>
      <c r="D27" s="423"/>
      <c r="E27" s="423"/>
      <c r="F27" s="423"/>
      <c r="G27" s="423"/>
      <c r="H27" s="355"/>
      <c r="I27" s="205">
        <f>I22*I26*0.01</f>
        <v>265.64522449315075</v>
      </c>
      <c r="J27" s="269" t="s">
        <v>228</v>
      </c>
      <c r="K27" s="311">
        <f>I22-I23</f>
        <v>27423.17368</v>
      </c>
      <c r="L27" s="113" t="s">
        <v>61</v>
      </c>
    </row>
    <row r="28" spans="2:15" ht="15" x14ac:dyDescent="0.35">
      <c r="B28" s="8"/>
      <c r="I28" s="270">
        <f>'1. CattleFinisih&amp;ROI Projection'!N53</f>
        <v>840.93262510483646</v>
      </c>
    </row>
    <row r="29" spans="2:15" ht="15.45" x14ac:dyDescent="0.4">
      <c r="B29" s="8" t="s">
        <v>289</v>
      </c>
      <c r="C29" s="425" t="s">
        <v>291</v>
      </c>
      <c r="D29" s="426"/>
      <c r="E29" s="425"/>
      <c r="F29" s="425"/>
      <c r="G29" s="425"/>
      <c r="H29" s="6"/>
      <c r="I29" s="211">
        <f>(I27+I28)</f>
        <v>1106.5778495979871</v>
      </c>
      <c r="K29" s="425" t="s">
        <v>292</v>
      </c>
      <c r="L29" s="426"/>
      <c r="M29" s="425"/>
      <c r="N29" s="425"/>
      <c r="O29" s="425"/>
    </row>
    <row r="30" spans="2:15" ht="15.45" x14ac:dyDescent="0.4">
      <c r="B30" s="339">
        <v>0.5</v>
      </c>
      <c r="C30" s="60">
        <f>D30-B30</f>
        <v>6.5</v>
      </c>
      <c r="D30" s="60">
        <f>E30-B30</f>
        <v>7</v>
      </c>
      <c r="E30" s="144">
        <f>'1. CattleFinisih&amp;ROI Projection'!F41</f>
        <v>7.5</v>
      </c>
      <c r="F30" s="60">
        <f>E30+B30</f>
        <v>8</v>
      </c>
      <c r="G30" s="60">
        <f>F30+B30</f>
        <v>8.5</v>
      </c>
      <c r="H30" s="60"/>
      <c r="J30" s="154">
        <f>B30</f>
        <v>0.5</v>
      </c>
      <c r="K30" s="60">
        <f>L30-J30</f>
        <v>6.5</v>
      </c>
      <c r="L30" s="60">
        <f>M30-J30</f>
        <v>7</v>
      </c>
      <c r="M30" s="44">
        <f>E30</f>
        <v>7.5</v>
      </c>
      <c r="N30" s="60">
        <f>M30+J30</f>
        <v>8</v>
      </c>
      <c r="O30" s="60">
        <f>N30+J30</f>
        <v>8.5</v>
      </c>
    </row>
    <row r="31" spans="2:15" ht="15.45" x14ac:dyDescent="0.4">
      <c r="B31" s="8" t="s">
        <v>288</v>
      </c>
      <c r="C31" s="8"/>
      <c r="D31" s="8"/>
      <c r="E31" s="8"/>
      <c r="F31" s="8"/>
      <c r="G31" s="8"/>
      <c r="H31" s="8"/>
      <c r="I31" s="270"/>
      <c r="J31" s="1" t="s">
        <v>226</v>
      </c>
      <c r="K31" s="44">
        <f>((K$30/56)*2000)/0.71</f>
        <v>326.96177062374244</v>
      </c>
      <c r="L31" s="44">
        <f>((L$30/56)*2000)/0.71</f>
        <v>352.11267605633805</v>
      </c>
      <c r="M31" s="44">
        <f>((M$30/56)*2000)/0.71</f>
        <v>377.2635814889336</v>
      </c>
      <c r="N31" s="44">
        <f>((N$30/56)*2000)/0.71</f>
        <v>402.4144869215292</v>
      </c>
      <c r="O31" s="44">
        <f>((O$30/56)*2000)/0.71</f>
        <v>427.56539235412475</v>
      </c>
    </row>
    <row r="32" spans="2:15" ht="15" x14ac:dyDescent="0.35">
      <c r="B32" s="339">
        <v>2</v>
      </c>
      <c r="D32" s="8"/>
      <c r="E32" s="8"/>
      <c r="F32" s="8"/>
      <c r="G32" s="8"/>
      <c r="H32" s="8"/>
      <c r="I32" s="63"/>
      <c r="J32" s="24" t="s">
        <v>293</v>
      </c>
      <c r="K32" s="23">
        <f>'1. CattleFinisih&amp;ROI Projection'!$D$41*K31*'1. CattleFinisih&amp;ROI Projection'!$F$31</f>
        <v>57635.251509054317</v>
      </c>
      <c r="L32" s="23">
        <f>'1. CattleFinisih&amp;ROI Projection'!$D$41*L31*'1. CattleFinisih&amp;ROI Projection'!$F$31</f>
        <v>62068.73239436619</v>
      </c>
      <c r="M32" s="23">
        <f>'1. CattleFinisih&amp;ROI Projection'!$D$41*M31*'1. CattleFinisih&amp;ROI Projection'!$F$31</f>
        <v>66502.213279678064</v>
      </c>
      <c r="N32" s="23">
        <f>'1. CattleFinisih&amp;ROI Projection'!$D$41*N31*'1. CattleFinisih&amp;ROI Projection'!$F$31</f>
        <v>70935.694164989938</v>
      </c>
      <c r="O32" s="23">
        <f>'1. CattleFinisih&amp;ROI Projection'!$D$41*O31*'1. CattleFinisih&amp;ROI Projection'!$F$31</f>
        <v>75369.175050301797</v>
      </c>
    </row>
    <row r="33" spans="2:16" ht="15.45" x14ac:dyDescent="0.4">
      <c r="B33" s="8" t="s">
        <v>290</v>
      </c>
      <c r="C33" s="425" t="s">
        <v>311</v>
      </c>
      <c r="D33" s="425"/>
      <c r="E33" s="425"/>
      <c r="F33" s="425"/>
      <c r="G33" s="425"/>
      <c r="H33" s="6"/>
      <c r="J33" s="24" t="s">
        <v>340</v>
      </c>
      <c r="K33" s="23">
        <f>K32*0.5*$I$26*0.01</f>
        <v>195.40718833549241</v>
      </c>
      <c r="L33" s="23">
        <f>L32*0.5*$I$26*0.01</f>
        <v>210.43851051514565</v>
      </c>
      <c r="M33" s="388">
        <f>M32*0.5*$I$26*0.01</f>
        <v>225.46983269479892</v>
      </c>
      <c r="N33" s="23">
        <f>N32*0.5*$I$26*0.01</f>
        <v>240.5011548744522</v>
      </c>
      <c r="O33" s="23">
        <f>O32*0.5*$I$26*0.01</f>
        <v>255.53247705410544</v>
      </c>
    </row>
    <row r="34" spans="2:16" ht="15" x14ac:dyDescent="0.35">
      <c r="B34" s="351">
        <f>B35-B32</f>
        <v>150</v>
      </c>
      <c r="C34" s="155">
        <f t="shared" ref="C34:G38" si="0">K57/$J$52</f>
        <v>139.03543502889505</v>
      </c>
      <c r="D34" s="155">
        <f t="shared" si="0"/>
        <v>142.24137586382219</v>
      </c>
      <c r="E34" s="155">
        <f t="shared" si="0"/>
        <v>145.44731669874932</v>
      </c>
      <c r="F34" s="155">
        <f t="shared" si="0"/>
        <v>148.65325753367642</v>
      </c>
      <c r="G34" s="155">
        <f t="shared" si="0"/>
        <v>151.85919836860353</v>
      </c>
      <c r="H34" s="155"/>
      <c r="I34" s="8"/>
      <c r="J34" s="40" t="s">
        <v>294</v>
      </c>
      <c r="K34" s="340">
        <f>K32+K33</f>
        <v>57830.658697389808</v>
      </c>
      <c r="L34" s="340">
        <f>L32+L33</f>
        <v>62279.170904881335</v>
      </c>
      <c r="M34" s="340">
        <f>M32+M33</f>
        <v>66727.683112372863</v>
      </c>
      <c r="N34" s="340">
        <f>N32+N33</f>
        <v>71176.19531986439</v>
      </c>
      <c r="O34" s="340">
        <f>O32+O33</f>
        <v>75624.707527355902</v>
      </c>
    </row>
    <row r="35" spans="2:16" ht="15" x14ac:dyDescent="0.35">
      <c r="B35" s="351">
        <f>B36-B32</f>
        <v>152</v>
      </c>
      <c r="C35" s="155">
        <f t="shared" si="0"/>
        <v>140.1963372265771</v>
      </c>
      <c r="D35" s="155">
        <f t="shared" si="0"/>
        <v>143.40227806150426</v>
      </c>
      <c r="E35" s="155">
        <f t="shared" si="0"/>
        <v>146.60821889643137</v>
      </c>
      <c r="F35" s="155">
        <f t="shared" si="0"/>
        <v>149.81415973135853</v>
      </c>
      <c r="G35" s="155">
        <f t="shared" si="0"/>
        <v>153.02010056628563</v>
      </c>
      <c r="H35" s="155"/>
    </row>
    <row r="36" spans="2:16" ht="15.45" x14ac:dyDescent="0.4">
      <c r="B36" s="352">
        <f>'1. CattleFinisih&amp;ROI Projection'!F13</f>
        <v>154</v>
      </c>
      <c r="C36" s="155">
        <f t="shared" si="0"/>
        <v>140.7511985466584</v>
      </c>
      <c r="D36" s="155">
        <f t="shared" si="0"/>
        <v>144.56318025918634</v>
      </c>
      <c r="E36" s="96">
        <f t="shared" si="0"/>
        <v>147.76912109411347</v>
      </c>
      <c r="F36" s="155">
        <f t="shared" si="0"/>
        <v>150.97506192904061</v>
      </c>
      <c r="G36" s="155">
        <f t="shared" si="0"/>
        <v>154.18100276396771</v>
      </c>
      <c r="H36" s="155"/>
      <c r="J36" s="24" t="s">
        <v>295</v>
      </c>
      <c r="K36" s="341">
        <f>'1. CattleFinisih&amp;ROI Projection'!F51-'1. CattleFinisih&amp;ROI Projection'!F43</f>
        <v>9925.0000000000073</v>
      </c>
      <c r="L36" s="341">
        <f>$K$36</f>
        <v>9925.0000000000073</v>
      </c>
      <c r="M36" s="341">
        <f>$K$36</f>
        <v>9925.0000000000073</v>
      </c>
      <c r="N36" s="341">
        <f>$K$36</f>
        <v>9925.0000000000073</v>
      </c>
      <c r="O36" s="341">
        <f>$K$36</f>
        <v>9925.0000000000073</v>
      </c>
    </row>
    <row r="37" spans="2:16" ht="15" x14ac:dyDescent="0.35">
      <c r="B37" s="351">
        <f>B36+B32</f>
        <v>156</v>
      </c>
      <c r="C37" s="155">
        <f t="shared" si="0"/>
        <v>142.51814162194131</v>
      </c>
      <c r="D37" s="155">
        <f t="shared" si="0"/>
        <v>145.72408245686842</v>
      </c>
      <c r="E37" s="155">
        <f t="shared" si="0"/>
        <v>148.93002329179555</v>
      </c>
      <c r="F37" s="155">
        <f t="shared" si="0"/>
        <v>152.13596412672268</v>
      </c>
      <c r="G37" s="155">
        <f t="shared" si="0"/>
        <v>155.34190496164979</v>
      </c>
      <c r="H37" s="155"/>
      <c r="J37" s="24" t="s">
        <v>296</v>
      </c>
      <c r="K37" s="23">
        <f>K36*0.5*$I$26*0.01</f>
        <v>33.64982876712331</v>
      </c>
      <c r="L37" s="23">
        <f>L36*0.5*$I$26*0.01</f>
        <v>33.64982876712331</v>
      </c>
      <c r="M37" s="388">
        <f>M36*0.5*$I$26*0.01</f>
        <v>33.64982876712331</v>
      </c>
      <c r="N37" s="23">
        <f>N36*0.5*$I$26*0.01</f>
        <v>33.64982876712331</v>
      </c>
      <c r="O37" s="23">
        <f>O36*0.5*$I$26*0.01</f>
        <v>33.64982876712331</v>
      </c>
    </row>
    <row r="38" spans="2:16" ht="15" x14ac:dyDescent="0.35">
      <c r="B38" s="351">
        <f>B37+B32</f>
        <v>158</v>
      </c>
      <c r="C38" s="155">
        <f t="shared" si="0"/>
        <v>143.67904381962336</v>
      </c>
      <c r="D38" s="155">
        <f t="shared" si="0"/>
        <v>146.88498465455049</v>
      </c>
      <c r="E38" s="155">
        <f t="shared" si="0"/>
        <v>150.09092548947763</v>
      </c>
      <c r="F38" s="155">
        <f t="shared" si="0"/>
        <v>153.29686632440476</v>
      </c>
      <c r="G38" s="155">
        <f t="shared" si="0"/>
        <v>156.50280715933187</v>
      </c>
      <c r="H38" s="155"/>
      <c r="J38" s="40" t="s">
        <v>297</v>
      </c>
      <c r="K38" s="340">
        <f>K34+K36+K37</f>
        <v>67789.30852615695</v>
      </c>
      <c r="L38" s="340">
        <f>L34+L36+L37</f>
        <v>72237.820733648477</v>
      </c>
      <c r="M38" s="340">
        <f>M34+M36+M37</f>
        <v>76686.332941140005</v>
      </c>
      <c r="N38" s="340">
        <f>N34+N36+N37</f>
        <v>81134.845148631532</v>
      </c>
      <c r="O38" s="340">
        <f>O34+O36+O37</f>
        <v>85583.35735612303</v>
      </c>
    </row>
    <row r="39" spans="2:16" x14ac:dyDescent="0.3">
      <c r="B39" t="s">
        <v>310</v>
      </c>
      <c r="M39" s="387"/>
      <c r="P39" s="23"/>
    </row>
    <row r="40" spans="2:16" ht="15.45" x14ac:dyDescent="0.4">
      <c r="E40" s="40" t="s">
        <v>335</v>
      </c>
      <c r="G40" s="367">
        <f>B36</f>
        <v>154</v>
      </c>
      <c r="J40" s="40" t="s">
        <v>298</v>
      </c>
      <c r="K40" s="342">
        <f>B34</f>
        <v>150</v>
      </c>
      <c r="L40" s="342">
        <f>B35</f>
        <v>152</v>
      </c>
      <c r="M40" s="342">
        <f>B36</f>
        <v>154</v>
      </c>
      <c r="N40" s="342">
        <f>B37</f>
        <v>156</v>
      </c>
      <c r="O40" s="342">
        <f>B38</f>
        <v>158</v>
      </c>
    </row>
    <row r="41" spans="2:16" x14ac:dyDescent="0.3">
      <c r="J41" s="24" t="s">
        <v>300</v>
      </c>
      <c r="K41" s="160">
        <f>K40*'1. CattleFinisih&amp;ROI Projection'!$F$12*'1. CattleFinisih&amp;ROI Projection'!$F$11*0.01</f>
        <v>120000</v>
      </c>
      <c r="L41" s="160">
        <f>L40*'1. CattleFinisih&amp;ROI Projection'!$F$12*'1. CattleFinisih&amp;ROI Projection'!$F$11*0.01</f>
        <v>121600</v>
      </c>
      <c r="M41" s="160">
        <f>M40*'1. CattleFinisih&amp;ROI Projection'!$F$12*'1. CattleFinisih&amp;ROI Projection'!$F$11*0.01</f>
        <v>123200</v>
      </c>
      <c r="N41" s="160">
        <f>N40*'1. CattleFinisih&amp;ROI Projection'!$F$12*'1. CattleFinisih&amp;ROI Projection'!$F$11*0.01</f>
        <v>124800</v>
      </c>
      <c r="O41" s="160">
        <f>O40*'1. CattleFinisih&amp;ROI Projection'!$F$12*'1. CattleFinisih&amp;ROI Projection'!$F$11*0.01</f>
        <v>126400</v>
      </c>
    </row>
    <row r="42" spans="2:16" x14ac:dyDescent="0.3">
      <c r="J42" s="24" t="s">
        <v>299</v>
      </c>
      <c r="K42" s="160">
        <f>L42</f>
        <v>816.32653061224494</v>
      </c>
      <c r="L42" s="160">
        <f>M42</f>
        <v>816.32653061224494</v>
      </c>
      <c r="M42" s="160">
        <f>('1. CattleFinisih&amp;ROI Projection'!M18*'1. CattleFinisih&amp;ROI Projection'!F11)</f>
        <v>816.32653061224494</v>
      </c>
      <c r="N42" s="160">
        <f>M42</f>
        <v>816.32653061224494</v>
      </c>
      <c r="O42" s="160">
        <f>N42</f>
        <v>816.32653061224494</v>
      </c>
    </row>
    <row r="43" spans="2:16" x14ac:dyDescent="0.3">
      <c r="J43" s="24" t="s">
        <v>302</v>
      </c>
      <c r="K43" s="342">
        <f>K41+K42</f>
        <v>120816.32653061225</v>
      </c>
      <c r="L43" s="342">
        <f>L41+L42</f>
        <v>122416.32653061225</v>
      </c>
      <c r="M43" s="342">
        <f>M41+M42</f>
        <v>124016.32653061225</v>
      </c>
      <c r="N43" s="342">
        <f>N41+N42</f>
        <v>125616.32653061225</v>
      </c>
      <c r="O43" s="342">
        <f>O41+O42</f>
        <v>127216.32653061225</v>
      </c>
    </row>
    <row r="44" spans="2:16" x14ac:dyDescent="0.3">
      <c r="J44" s="24" t="s">
        <v>296</v>
      </c>
      <c r="K44" s="160">
        <f>$I$26*K43*0.01</f>
        <v>819.23399496785032</v>
      </c>
      <c r="L44" s="160">
        <f>$I$26*L43*0.01</f>
        <v>830.08331003634339</v>
      </c>
      <c r="M44" s="160">
        <f>$I$26*M43*0.01</f>
        <v>840.93262510483646</v>
      </c>
      <c r="N44" s="160">
        <f>$I$26*N43*0.01</f>
        <v>851.78194017332964</v>
      </c>
      <c r="O44" s="160">
        <f>$I$26*O43*0.01</f>
        <v>862.63125524182283</v>
      </c>
    </row>
    <row r="45" spans="2:16" x14ac:dyDescent="0.3">
      <c r="J45" s="40" t="s">
        <v>301</v>
      </c>
      <c r="K45" s="342">
        <f>K43+K44</f>
        <v>121635.56052558011</v>
      </c>
      <c r="L45" s="342">
        <f>L43+L44</f>
        <v>123246.40984064859</v>
      </c>
      <c r="M45" s="342">
        <f>M43+M44</f>
        <v>124857.25915571708</v>
      </c>
      <c r="N45" s="342">
        <f>N43+N44</f>
        <v>126468.10847078558</v>
      </c>
      <c r="O45" s="342">
        <f>O43+O44</f>
        <v>128078.95778585407</v>
      </c>
    </row>
    <row r="47" spans="2:16" x14ac:dyDescent="0.3">
      <c r="J47" s="24" t="s">
        <v>158</v>
      </c>
      <c r="K47" s="23">
        <f>L47</f>
        <v>2508.4760273972602</v>
      </c>
      <c r="L47" s="23">
        <f>M47</f>
        <v>2508.4760273972602</v>
      </c>
      <c r="M47" s="23">
        <f>('1. CattleFinisih&amp;ROI Projection'!E56*'1. CattleFinisih&amp;ROI Projection'!F11)*(1+(I26*0.01*0.5))</f>
        <v>2508.4760273972602</v>
      </c>
      <c r="N47" s="23">
        <f>M47</f>
        <v>2508.4760273972602</v>
      </c>
      <c r="O47" s="23">
        <f>N47</f>
        <v>2508.4760273972602</v>
      </c>
    </row>
    <row r="48" spans="2:16" x14ac:dyDescent="0.3">
      <c r="J48" s="24" t="s">
        <v>307</v>
      </c>
      <c r="K48" s="23">
        <f>'1. CattleFinisih&amp;ROI Projection'!F30*'1. CattleFinisih&amp;ROI Projection'!F31</f>
        <v>990</v>
      </c>
      <c r="L48" s="23">
        <f>M48</f>
        <v>990</v>
      </c>
      <c r="M48" s="23">
        <f>K48</f>
        <v>990</v>
      </c>
      <c r="N48" s="23">
        <f>M48</f>
        <v>990</v>
      </c>
      <c r="O48" s="23">
        <f>N48</f>
        <v>990</v>
      </c>
    </row>
    <row r="49" spans="9:20" x14ac:dyDescent="0.3">
      <c r="J49" s="24" t="s">
        <v>308</v>
      </c>
      <c r="K49" s="340">
        <f>K47+K48</f>
        <v>3498.4760273972602</v>
      </c>
      <c r="L49" s="340">
        <f>L47+L48</f>
        <v>3498.4760273972602</v>
      </c>
      <c r="M49" s="340">
        <f>M47+M48</f>
        <v>3498.4760273972602</v>
      </c>
      <c r="N49" s="340">
        <f>N47+N48</f>
        <v>3498.4760273972602</v>
      </c>
      <c r="O49" s="340">
        <f>O47+O48</f>
        <v>3498.4760273972602</v>
      </c>
    </row>
    <row r="50" spans="9:20" x14ac:dyDescent="0.3">
      <c r="M50" s="23"/>
    </row>
    <row r="51" spans="9:20" x14ac:dyDescent="0.3">
      <c r="J51" s="24" t="s">
        <v>303</v>
      </c>
      <c r="K51" s="340">
        <f>K49+K45+K38</f>
        <v>192923.34507913433</v>
      </c>
      <c r="L51" s="340">
        <f>L49+L45+L38</f>
        <v>198982.70660169434</v>
      </c>
      <c r="M51" s="340">
        <f>M49+M45+M38</f>
        <v>205042.06812425435</v>
      </c>
      <c r="N51" s="340">
        <f>N49+N45+N38</f>
        <v>211101.42964681436</v>
      </c>
      <c r="O51" s="340">
        <f>O49+O45+O38</f>
        <v>217160.79116937437</v>
      </c>
    </row>
    <row r="52" spans="9:20" x14ac:dyDescent="0.3">
      <c r="I52" t="s">
        <v>315</v>
      </c>
      <c r="J52" s="347">
        <f>'1. CattleFinisih&amp;ROI Projection'!H73*0.01</f>
        <v>1387.5840000000001</v>
      </c>
      <c r="M52" s="341">
        <f>'1. CattleFinisih&amp;ROI Projection'!F64</f>
        <v>197461.15243763488</v>
      </c>
    </row>
    <row r="53" spans="9:20" x14ac:dyDescent="0.3">
      <c r="J53" s="40" t="s">
        <v>304</v>
      </c>
      <c r="K53" s="340">
        <f>(K51/$J$52)</f>
        <v>139.03543502889505</v>
      </c>
      <c r="L53" s="340">
        <f>(L51/$J$52)</f>
        <v>143.40227806150426</v>
      </c>
      <c r="M53" s="340">
        <f>(M51/$J$52)</f>
        <v>147.76912109411347</v>
      </c>
      <c r="N53" s="340">
        <f>(N51/$J$52)</f>
        <v>152.13596412672268</v>
      </c>
      <c r="O53" s="340">
        <f>(O51/$J$52)</f>
        <v>156.50280715933187</v>
      </c>
      <c r="T53" s="24" t="s">
        <v>341</v>
      </c>
    </row>
    <row r="54" spans="9:20" x14ac:dyDescent="0.3">
      <c r="J54" s="40"/>
      <c r="K54" s="340"/>
      <c r="L54" s="340"/>
      <c r="M54" s="386"/>
      <c r="N54" s="386"/>
      <c r="P54" s="386">
        <f>M44+M33+M37</f>
        <v>1100.0522865667588</v>
      </c>
      <c r="Q54" s="24" t="s">
        <v>162</v>
      </c>
      <c r="R54" s="341">
        <f>'1. CattleFinisih&amp;ROI Projection'!F62</f>
        <v>1086.2579070226448</v>
      </c>
      <c r="S54" s="23">
        <f>R54-P54</f>
        <v>-13.794379544114008</v>
      </c>
      <c r="T54" s="24" t="s">
        <v>339</v>
      </c>
    </row>
    <row r="56" spans="9:20" x14ac:dyDescent="0.3">
      <c r="J56" s="24" t="s">
        <v>309</v>
      </c>
      <c r="K56" s="23">
        <f>K38+K49</f>
        <v>71287.784553554215</v>
      </c>
      <c r="L56" s="23">
        <f>L38+L49</f>
        <v>75736.296761045742</v>
      </c>
      <c r="M56" s="23">
        <f>M38+M49</f>
        <v>80184.808968537269</v>
      </c>
      <c r="N56" s="23">
        <f>N38+N49</f>
        <v>84633.321176028796</v>
      </c>
      <c r="O56" s="23">
        <f>O38+O49</f>
        <v>89081.833383520294</v>
      </c>
    </row>
    <row r="57" spans="9:20" x14ac:dyDescent="0.3">
      <c r="J57" s="160">
        <f>B34</f>
        <v>150</v>
      </c>
      <c r="K57" s="23">
        <f>K56+K45</f>
        <v>192923.34507913433</v>
      </c>
      <c r="L57" s="23">
        <f>L56+K45</f>
        <v>197371.85728662583</v>
      </c>
      <c r="M57" s="23">
        <f>$M$56+K45</f>
        <v>201820.36949411739</v>
      </c>
      <c r="N57" s="23">
        <f>$N$56+K$45</f>
        <v>206268.88170160889</v>
      </c>
      <c r="O57" s="23">
        <f>$O$56+K$45</f>
        <v>210717.39390910038</v>
      </c>
    </row>
    <row r="58" spans="9:20" x14ac:dyDescent="0.3">
      <c r="J58" s="160">
        <f>B35</f>
        <v>152</v>
      </c>
      <c r="K58" s="23">
        <f>K56+L45</f>
        <v>194534.19439420279</v>
      </c>
      <c r="L58" s="23">
        <f>L56+L45</f>
        <v>198982.70660169434</v>
      </c>
      <c r="M58" s="23">
        <f>$M$56+L45</f>
        <v>203431.21880918584</v>
      </c>
      <c r="N58" s="23">
        <f>$N$56+L$45</f>
        <v>207879.7310166774</v>
      </c>
      <c r="O58" s="23">
        <f>$O$56+L$45</f>
        <v>212328.24322416889</v>
      </c>
    </row>
    <row r="59" spans="9:20" x14ac:dyDescent="0.3">
      <c r="J59" s="160">
        <f>B36</f>
        <v>154</v>
      </c>
      <c r="K59" s="23">
        <f>K56+M43</f>
        <v>195304.11108416645</v>
      </c>
      <c r="L59" s="23">
        <f>L56+M45</f>
        <v>200593.55591676282</v>
      </c>
      <c r="M59" s="23">
        <f>$M$56+M45</f>
        <v>205042.06812425435</v>
      </c>
      <c r="N59" s="23">
        <f>$N$56+M$45</f>
        <v>209490.58033174588</v>
      </c>
      <c r="O59" s="23">
        <f>$O$56+M$45</f>
        <v>213939.09253923738</v>
      </c>
    </row>
    <row r="60" spans="9:20" x14ac:dyDescent="0.3">
      <c r="J60" s="160">
        <f>B37</f>
        <v>156</v>
      </c>
      <c r="K60" s="23">
        <f>K56+N45</f>
        <v>197755.89302433981</v>
      </c>
      <c r="L60" s="23">
        <f>L56+N45</f>
        <v>202204.4052318313</v>
      </c>
      <c r="M60" s="23">
        <f>$M$56+N45</f>
        <v>206652.91743932286</v>
      </c>
      <c r="N60" s="23">
        <f>$N$56+N$45</f>
        <v>211101.42964681436</v>
      </c>
      <c r="O60" s="23">
        <f>$O$56+N$45</f>
        <v>215549.94185430586</v>
      </c>
    </row>
    <row r="61" spans="9:20" x14ac:dyDescent="0.3">
      <c r="J61" s="160">
        <f>B38</f>
        <v>158</v>
      </c>
      <c r="K61" s="23">
        <f>K56+O45</f>
        <v>199366.74233940829</v>
      </c>
      <c r="L61" s="23">
        <f>L56+O45</f>
        <v>203815.25454689981</v>
      </c>
      <c r="M61" s="23">
        <f>$M$56+O45</f>
        <v>208263.76675439134</v>
      </c>
      <c r="N61" s="23">
        <f>$N$56+O$45</f>
        <v>212712.27896188287</v>
      </c>
      <c r="O61" s="23">
        <f>$O$56+O$45</f>
        <v>217160.79116937437</v>
      </c>
    </row>
    <row r="65" spans="2:7" ht="14.15" x14ac:dyDescent="0.35">
      <c r="C65" s="365">
        <f>B36</f>
        <v>154</v>
      </c>
      <c r="D65" s="24" t="s">
        <v>328</v>
      </c>
    </row>
    <row r="66" spans="2:7" x14ac:dyDescent="0.3">
      <c r="B66" s="368" t="s">
        <v>325</v>
      </c>
      <c r="C66" s="369">
        <f>C30</f>
        <v>6.5</v>
      </c>
      <c r="D66" s="369">
        <f>D30</f>
        <v>7</v>
      </c>
      <c r="E66" s="369">
        <f>E30</f>
        <v>7.5</v>
      </c>
      <c r="F66" s="369">
        <f>F30</f>
        <v>8</v>
      </c>
      <c r="G66" s="369">
        <f>G30</f>
        <v>8.5</v>
      </c>
    </row>
    <row r="67" spans="2:7" x14ac:dyDescent="0.3">
      <c r="B67" s="368" t="s">
        <v>303</v>
      </c>
      <c r="C67" s="370">
        <f>C36</f>
        <v>140.7511985466584</v>
      </c>
      <c r="D67" s="370">
        <f>D36</f>
        <v>144.56318025918634</v>
      </c>
      <c r="E67" s="370">
        <f>E36</f>
        <v>147.76912109411347</v>
      </c>
      <c r="F67" s="370">
        <f>F36</f>
        <v>150.97506192904061</v>
      </c>
      <c r="G67" s="370">
        <f>G36</f>
        <v>154.18100276396771</v>
      </c>
    </row>
  </sheetData>
  <sheetProtection sheet="1"/>
  <mergeCells count="5">
    <mergeCell ref="B1:G1"/>
    <mergeCell ref="C29:G29"/>
    <mergeCell ref="C33:G33"/>
    <mergeCell ref="K29:O29"/>
    <mergeCell ref="B27:G27"/>
  </mergeCells>
  <phoneticPr fontId="30" type="noConversion"/>
  <pageMargins left="0.95" right="0.45" top="0.75" bottom="0.75" header="0.3" footer="0.3"/>
  <pageSetup scale="77" orientation="portrait" r:id="rId1"/>
  <headerFooter>
    <oddFooter>&amp;L&amp;F&amp;R&amp;A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79"/>
  <sheetViews>
    <sheetView topLeftCell="A49" zoomScaleNormal="100" workbookViewId="0">
      <selection activeCell="C58" sqref="C58"/>
    </sheetView>
  </sheetViews>
  <sheetFormatPr defaultRowHeight="12.45" x14ac:dyDescent="0.3"/>
  <cols>
    <col min="1" max="1" width="4.69140625" customWidth="1"/>
    <col min="2" max="2" width="63" customWidth="1"/>
    <col min="3" max="3" width="15.84375" customWidth="1"/>
  </cols>
  <sheetData>
    <row r="1" spans="2:6" ht="15" x14ac:dyDescent="0.35">
      <c r="B1" s="417" t="s">
        <v>213</v>
      </c>
      <c r="C1" s="417"/>
    </row>
    <row r="2" spans="2:6" ht="15.45" x14ac:dyDescent="0.4">
      <c r="B2" s="8" t="s">
        <v>0</v>
      </c>
      <c r="C2" s="358">
        <f>'1. CattleFinisih&amp;ROI Projection'!E5</f>
        <v>44663</v>
      </c>
      <c r="D2" s="6"/>
    </row>
    <row r="3" spans="2:6" ht="15" x14ac:dyDescent="0.35">
      <c r="B3" s="13" t="s">
        <v>74</v>
      </c>
      <c r="C3" s="61" t="str">
        <f>'1. CattleFinisih&amp;ROI Projection'!C6</f>
        <v>TX</v>
      </c>
    </row>
    <row r="4" spans="2:6" ht="15" x14ac:dyDescent="0.35">
      <c r="B4" s="13" t="s">
        <v>75</v>
      </c>
      <c r="C4" s="61" t="str">
        <f>'1. CattleFinisih&amp;ROI Projection'!C7</f>
        <v>TX</v>
      </c>
    </row>
    <row r="5" spans="2:6" ht="15" x14ac:dyDescent="0.35">
      <c r="B5" s="8" t="s">
        <v>237</v>
      </c>
      <c r="C5" s="61">
        <f>'1. CattleFinisih&amp;ROI Projection'!D5</f>
        <v>20</v>
      </c>
    </row>
    <row r="6" spans="2:6" ht="15" x14ac:dyDescent="0.35">
      <c r="B6" s="13" t="s">
        <v>76</v>
      </c>
      <c r="C6" s="61">
        <f>'1. CattleFinisih&amp;ROI Projection'!F11</f>
        <v>100</v>
      </c>
    </row>
    <row r="7" spans="2:6" ht="15" x14ac:dyDescent="0.35">
      <c r="B7" s="8" t="s">
        <v>212</v>
      </c>
      <c r="C7" s="61" t="str">
        <f>'1. CattleFinisih&amp;ROI Projection'!E7</f>
        <v>Angus Cross</v>
      </c>
    </row>
    <row r="8" spans="2:6" ht="15" x14ac:dyDescent="0.35">
      <c r="B8" s="8" t="s">
        <v>206</v>
      </c>
      <c r="C8" s="338">
        <f>'1. CattleFinisih&amp;ROI Projection'!F7</f>
        <v>0.7</v>
      </c>
    </row>
    <row r="9" spans="2:6" ht="15" x14ac:dyDescent="0.35">
      <c r="B9" s="13" t="s">
        <v>77</v>
      </c>
      <c r="C9" s="61" t="str">
        <f>'1. CattleFinisih&amp;ROI Projection'!E6</f>
        <v>Steers</v>
      </c>
    </row>
    <row r="10" spans="2:6" ht="15" x14ac:dyDescent="0.35">
      <c r="B10" s="13" t="s">
        <v>78</v>
      </c>
      <c r="C10" s="336" t="str">
        <f>'1. CattleFinisih&amp;ROI Projection'!C8</f>
        <v>L</v>
      </c>
    </row>
    <row r="11" spans="2:6" ht="15" x14ac:dyDescent="0.35">
      <c r="B11" s="13" t="s">
        <v>79</v>
      </c>
      <c r="C11" s="336">
        <f>'1. CattleFinisih&amp;ROI Projection'!E8</f>
        <v>1</v>
      </c>
    </row>
    <row r="12" spans="2:6" ht="15" x14ac:dyDescent="0.35">
      <c r="B12" s="315" t="s">
        <v>319</v>
      </c>
      <c r="C12" s="360">
        <f>'1. CattleFinisih&amp;ROI Projection'!C9</f>
        <v>5</v>
      </c>
      <c r="F12" s="8" t="s">
        <v>356</v>
      </c>
    </row>
    <row r="13" spans="2:6" ht="15" x14ac:dyDescent="0.35">
      <c r="B13" s="8" t="s">
        <v>320</v>
      </c>
      <c r="C13" s="335">
        <f>'1. CattleFinisih&amp;ROI Projection'!F10</f>
        <v>44658</v>
      </c>
    </row>
    <row r="14" spans="2:6" ht="15" x14ac:dyDescent="0.35">
      <c r="B14" s="8" t="s">
        <v>216</v>
      </c>
      <c r="C14" s="335">
        <f>'1. CattleFinisih&amp;ROI Projection'!F19</f>
        <v>44823</v>
      </c>
    </row>
    <row r="15" spans="2:6" ht="15.45" x14ac:dyDescent="0.4">
      <c r="B15" s="1" t="s">
        <v>207</v>
      </c>
      <c r="C15" s="64"/>
      <c r="F15" s="8" t="str">
        <f>'1. CattleFinisih&amp;ROI Projection'!D9</f>
        <v>Yearling</v>
      </c>
    </row>
    <row r="16" spans="2:6" ht="15" x14ac:dyDescent="0.35">
      <c r="B16" s="13" t="s">
        <v>81</v>
      </c>
      <c r="C16" s="57">
        <f>'1. CattleFinisih&amp;ROI Projection'!F16</f>
        <v>155.0204081632653</v>
      </c>
      <c r="F16" s="24" t="s">
        <v>323</v>
      </c>
    </row>
    <row r="17" spans="2:6" ht="15" x14ac:dyDescent="0.35">
      <c r="B17" s="62" t="s">
        <v>82</v>
      </c>
      <c r="C17" s="57">
        <f>'1. CattleFinisih&amp;ROI Projection'!F33</f>
        <v>143.28652968036531</v>
      </c>
      <c r="F17" s="24" t="s">
        <v>322</v>
      </c>
    </row>
    <row r="18" spans="2:6" ht="15" x14ac:dyDescent="0.35">
      <c r="B18" s="143" t="s">
        <v>208</v>
      </c>
      <c r="C18" s="359">
        <f>'1. CattleFinisih&amp;ROI Projection'!D94</f>
        <v>-11.733878482899996</v>
      </c>
    </row>
    <row r="19" spans="2:6" ht="15.45" x14ac:dyDescent="0.4">
      <c r="B19" s="1" t="s">
        <v>283</v>
      </c>
      <c r="C19" s="283">
        <f>'1. CattleFinisih&amp;ROI Projection'!E41</f>
        <v>340</v>
      </c>
    </row>
    <row r="20" spans="2:6" ht="15" x14ac:dyDescent="0.35">
      <c r="B20" s="8" t="s">
        <v>223</v>
      </c>
      <c r="C20" s="57">
        <f>'1. CattleFinisih&amp;ROI Projection'!L43</f>
        <v>102</v>
      </c>
    </row>
    <row r="21" spans="2:6" ht="15" x14ac:dyDescent="0.35">
      <c r="B21" s="8" t="s">
        <v>250</v>
      </c>
      <c r="C21" s="295">
        <f>'1. CattleFinisih&amp;ROI Projection'!L44</f>
        <v>0.81603526538238091</v>
      </c>
    </row>
    <row r="22" spans="2:6" ht="15" x14ac:dyDescent="0.35">
      <c r="B22" s="13" t="s">
        <v>83</v>
      </c>
      <c r="C22" s="57">
        <f>'1. CattleFinisih&amp;ROI Projection'!D89</f>
        <v>118.89120193878664</v>
      </c>
    </row>
    <row r="23" spans="2:6" ht="15.45" x14ac:dyDescent="0.4">
      <c r="B23" s="1" t="s">
        <v>284</v>
      </c>
      <c r="C23" s="283">
        <f>'1. CattleFinisih&amp;ROI Projection'!O71</f>
        <v>382.12163707657123</v>
      </c>
    </row>
    <row r="24" spans="2:6" ht="15" x14ac:dyDescent="0.35">
      <c r="B24" s="8" t="s">
        <v>84</v>
      </c>
      <c r="C24" s="124">
        <f>C22/C26</f>
        <v>0.95117072084066667</v>
      </c>
    </row>
    <row r="25" spans="2:6" ht="15" x14ac:dyDescent="0.35">
      <c r="B25" s="8" t="s">
        <v>240</v>
      </c>
      <c r="C25" s="57">
        <f>'1. CattleFinisih&amp;ROI Projection'!E45/'1. CattleFinisih&amp;ROI Projection'!J27*100</f>
        <v>3.3697309661256947</v>
      </c>
    </row>
    <row r="26" spans="2:6" ht="15.45" x14ac:dyDescent="0.4">
      <c r="B26" s="76" t="s">
        <v>85</v>
      </c>
      <c r="C26" s="322">
        <f>'1. CattleFinisih&amp;ROI Projection'!D85</f>
        <v>124.99459806091156</v>
      </c>
    </row>
    <row r="27" spans="2:6" ht="15" x14ac:dyDescent="0.35">
      <c r="B27" s="8"/>
      <c r="C27" s="57"/>
    </row>
    <row r="28" spans="2:6" ht="15.45" x14ac:dyDescent="0.4">
      <c r="B28" s="76" t="s">
        <v>204</v>
      </c>
      <c r="C28" s="322">
        <f>'1. CattleFinisih&amp;ROI Projection'!D87</f>
        <v>127.31076657871519</v>
      </c>
    </row>
    <row r="29" spans="2:6" ht="15" x14ac:dyDescent="0.35">
      <c r="B29" s="8"/>
      <c r="C29" s="57"/>
    </row>
    <row r="30" spans="2:6" ht="15" x14ac:dyDescent="0.35">
      <c r="B30" s="143" t="s">
        <v>241</v>
      </c>
      <c r="C30" s="361">
        <f>'1. CattleFinisih&amp;ROI Projection'!D64</f>
        <v>142.30572883345073</v>
      </c>
      <c r="E30" s="23"/>
      <c r="F30" s="24" t="s">
        <v>274</v>
      </c>
    </row>
    <row r="31" spans="2:6" ht="15" x14ac:dyDescent="0.35">
      <c r="B31" s="8"/>
      <c r="C31" s="107"/>
      <c r="E31" s="23"/>
      <c r="F31" s="24"/>
    </row>
    <row r="32" spans="2:6" ht="15.45" x14ac:dyDescent="0.4">
      <c r="B32" s="1" t="s">
        <v>321</v>
      </c>
      <c r="C32" s="283">
        <f>'1. CattleFinisih&amp;ROI Projection'!F33</f>
        <v>143.28652968036531</v>
      </c>
      <c r="E32" s="23"/>
      <c r="F32" s="24" t="s">
        <v>322</v>
      </c>
    </row>
    <row r="33" spans="1:6" ht="15.45" x14ac:dyDescent="0.4">
      <c r="B33" s="76" t="s">
        <v>89</v>
      </c>
      <c r="C33" s="327">
        <f>'1. CattleFinisih&amp;ROI Projection'!F68</f>
        <v>1.8793099965946983E-2</v>
      </c>
      <c r="E33" s="23"/>
      <c r="F33" s="24"/>
    </row>
    <row r="34" spans="1:6" ht="15.45" x14ac:dyDescent="0.4">
      <c r="B34" s="76" t="s">
        <v>363</v>
      </c>
      <c r="C34" s="327">
        <f>'1. CattleFinisih&amp;ROI Projection'!F69</f>
        <v>2.6847285665638546E-2</v>
      </c>
      <c r="E34" s="23"/>
      <c r="F34" s="24"/>
    </row>
    <row r="35" spans="1:6" x14ac:dyDescent="0.3">
      <c r="A35" s="23"/>
      <c r="B35" s="23"/>
      <c r="C35" s="23"/>
      <c r="D35" s="23"/>
      <c r="E35" s="23"/>
      <c r="F35" s="24"/>
    </row>
    <row r="36" spans="1:6" ht="15.45" x14ac:dyDescent="0.4">
      <c r="B36" s="76" t="s">
        <v>269</v>
      </c>
      <c r="C36" s="322">
        <f>'1. CattleFinisih&amp;ROI Projection'!F71</f>
        <v>143.01919915308542</v>
      </c>
      <c r="D36" s="40" t="s">
        <v>331</v>
      </c>
    </row>
    <row r="37" spans="1:6" ht="15.45" x14ac:dyDescent="0.4">
      <c r="B37" s="76" t="s">
        <v>275</v>
      </c>
      <c r="C37" s="322">
        <f>'1. CattleFinisih&amp;ROI Projection'!F73</f>
        <v>223.46749867669598</v>
      </c>
    </row>
    <row r="39" spans="1:6" ht="15" x14ac:dyDescent="0.35">
      <c r="B39" s="52" t="s">
        <v>86</v>
      </c>
      <c r="C39" s="65">
        <f>'1. CattleFinisih&amp;ROI Projection'!D97</f>
        <v>-94.819220063838344</v>
      </c>
    </row>
    <row r="40" spans="1:6" ht="15" x14ac:dyDescent="0.35">
      <c r="B40" s="52" t="s">
        <v>87</v>
      </c>
      <c r="C40" s="65">
        <f>'1. CattleFinisih&amp;ROI Projection'!D98</f>
        <v>108.5661247341932</v>
      </c>
    </row>
    <row r="41" spans="1:6" ht="15.45" x14ac:dyDescent="0.4">
      <c r="B41" s="363" t="s">
        <v>88</v>
      </c>
      <c r="C41" s="364">
        <f>'1. CattleFinisih&amp;ROI Projection'!D99</f>
        <v>13.746904670354818</v>
      </c>
    </row>
    <row r="43" spans="1:6" ht="15.45" x14ac:dyDescent="0.4">
      <c r="B43" s="237" t="s">
        <v>217</v>
      </c>
      <c r="C43" s="331">
        <f>'1. CattleFinisih&amp;ROI Projection'!F75</f>
        <v>155.70117945295644</v>
      </c>
    </row>
    <row r="44" spans="1:6" ht="15.45" x14ac:dyDescent="0.4">
      <c r="B44" s="242" t="s">
        <v>324</v>
      </c>
      <c r="C44" s="362">
        <f>C16-C43</f>
        <v>-0.68077128969113687</v>
      </c>
    </row>
    <row r="45" spans="1:6" ht="15" x14ac:dyDescent="0.35">
      <c r="B45" s="242"/>
      <c r="C45" s="258"/>
    </row>
    <row r="46" spans="1:6" ht="15" x14ac:dyDescent="0.35">
      <c r="B46" s="242" t="s">
        <v>282</v>
      </c>
      <c r="C46" s="124">
        <f>'1. CattleFinisih&amp;ROI Projection'!E79*0.01</f>
        <v>0.05</v>
      </c>
      <c r="D46" s="40" t="s">
        <v>331</v>
      </c>
      <c r="F46" s="24" t="s">
        <v>333</v>
      </c>
    </row>
    <row r="47" spans="1:6" ht="15.45" x14ac:dyDescent="0.4">
      <c r="B47" s="76" t="s">
        <v>326</v>
      </c>
      <c r="C47" s="375">
        <f>'1. CattleFinisih&amp;ROI Projection'!F79</f>
        <v>144.84582859177371</v>
      </c>
      <c r="D47" s="40" t="s">
        <v>331</v>
      </c>
      <c r="F47" s="24" t="s">
        <v>332</v>
      </c>
    </row>
    <row r="48" spans="1:6" ht="15.45" x14ac:dyDescent="0.4">
      <c r="B48" s="237" t="s">
        <v>280</v>
      </c>
      <c r="C48" s="366">
        <f>'1. CattleFinisih&amp;ROI Projection'!F81</f>
        <v>226.32160717464643</v>
      </c>
      <c r="D48" s="40" t="s">
        <v>331</v>
      </c>
    </row>
    <row r="49" spans="2:3" x14ac:dyDescent="0.3">
      <c r="B49" s="24" t="s">
        <v>281</v>
      </c>
    </row>
    <row r="50" spans="2:3" ht="15" x14ac:dyDescent="0.35">
      <c r="B50" s="13"/>
      <c r="C50" s="61"/>
    </row>
    <row r="51" spans="2:3" ht="15.45" x14ac:dyDescent="0.4">
      <c r="B51" s="1" t="s">
        <v>209</v>
      </c>
      <c r="C51" s="61"/>
    </row>
    <row r="52" spans="2:3" ht="15" x14ac:dyDescent="0.35">
      <c r="B52" s="8" t="s">
        <v>210</v>
      </c>
      <c r="C52" s="292">
        <f>'1. CattleFinisih&amp;ROI Projection'!F12</f>
        <v>800</v>
      </c>
    </row>
    <row r="53" spans="2:3" ht="15" x14ac:dyDescent="0.35">
      <c r="B53" s="8" t="s">
        <v>327</v>
      </c>
      <c r="C53" s="153">
        <f>'1. CattleFinisih&amp;ROI Projection'!$F$24</f>
        <v>1401.6</v>
      </c>
    </row>
    <row r="54" spans="2:3" ht="15" x14ac:dyDescent="0.35">
      <c r="B54" s="13" t="s">
        <v>91</v>
      </c>
      <c r="C54" s="333">
        <f>'1. CattleFinisih&amp;ROI Projection'!E31*0.01</f>
        <v>0.01</v>
      </c>
    </row>
    <row r="55" spans="2:3" ht="15" x14ac:dyDescent="0.35">
      <c r="B55" s="8" t="s">
        <v>211</v>
      </c>
      <c r="C55" s="153">
        <f>'1. CattleFinisih&amp;ROI Projection'!J27</f>
        <v>593.51919191919183</v>
      </c>
    </row>
    <row r="56" spans="2:3" ht="15" x14ac:dyDescent="0.35">
      <c r="B56" s="13" t="s">
        <v>92</v>
      </c>
      <c r="C56" s="153">
        <f>'1. CattleFinisih&amp;ROI Projection'!F20</f>
        <v>165</v>
      </c>
    </row>
    <row r="57" spans="2:3" ht="15" x14ac:dyDescent="0.35">
      <c r="B57" s="13" t="s">
        <v>93</v>
      </c>
      <c r="C57" s="125">
        <f>'1. CattleFinisih&amp;ROI Projection'!J25</f>
        <v>3.5611151515151511</v>
      </c>
    </row>
    <row r="58" spans="2:3" ht="15" x14ac:dyDescent="0.35">
      <c r="B58" s="13" t="s">
        <v>94</v>
      </c>
      <c r="C58" s="125">
        <f>'1. CattleFinisih&amp;ROI Projection'!E39</f>
        <v>6</v>
      </c>
    </row>
    <row r="59" spans="2:3" ht="15" x14ac:dyDescent="0.35">
      <c r="B59" s="8"/>
      <c r="C59" s="261"/>
    </row>
    <row r="60" spans="2:3" ht="15.45" x14ac:dyDescent="0.4">
      <c r="B60" s="1" t="s">
        <v>266</v>
      </c>
      <c r="C60" s="261"/>
    </row>
    <row r="61" spans="2:3" ht="15" x14ac:dyDescent="0.35">
      <c r="B61" s="8" t="s">
        <v>264</v>
      </c>
      <c r="C61" s="334">
        <f>'1. CattleFinisih&amp;ROI Projection'!E73*0.01</f>
        <v>0.64</v>
      </c>
    </row>
    <row r="62" spans="2:3" ht="15" x14ac:dyDescent="0.35">
      <c r="B62" s="8" t="s">
        <v>265</v>
      </c>
      <c r="C62" s="80">
        <f>C53*C61</f>
        <v>897.024</v>
      </c>
    </row>
    <row r="63" spans="2:3" ht="15.45" x14ac:dyDescent="0.4">
      <c r="B63" s="237"/>
      <c r="C63" s="261"/>
    </row>
    <row r="64" spans="2:3" ht="15" x14ac:dyDescent="0.35">
      <c r="B64" s="8"/>
      <c r="C64" s="261"/>
    </row>
    <row r="65" spans="2:2" x14ac:dyDescent="0.3">
      <c r="B65" s="24"/>
    </row>
    <row r="66" spans="2:2" ht="15" x14ac:dyDescent="0.35">
      <c r="B66" s="13"/>
    </row>
    <row r="67" spans="2:2" ht="15" x14ac:dyDescent="0.35">
      <c r="B67" s="13"/>
    </row>
    <row r="68" spans="2:2" ht="15" x14ac:dyDescent="0.35">
      <c r="B68" s="13"/>
    </row>
    <row r="69" spans="2:2" ht="15" x14ac:dyDescent="0.35">
      <c r="B69" s="13"/>
    </row>
    <row r="70" spans="2:2" ht="15" x14ac:dyDescent="0.35">
      <c r="B70" s="13"/>
    </row>
    <row r="71" spans="2:2" ht="15" x14ac:dyDescent="0.35">
      <c r="B71" s="13"/>
    </row>
    <row r="72" spans="2:2" ht="15" x14ac:dyDescent="0.35">
      <c r="B72" s="13"/>
    </row>
    <row r="73" spans="2:2" ht="15" x14ac:dyDescent="0.35">
      <c r="B73" s="13"/>
    </row>
    <row r="75" spans="2:2" ht="15" x14ac:dyDescent="0.35">
      <c r="B75" s="13"/>
    </row>
    <row r="76" spans="2:2" ht="14.15" x14ac:dyDescent="0.35">
      <c r="B76" s="63"/>
    </row>
    <row r="77" spans="2:2" ht="14.15" x14ac:dyDescent="0.35">
      <c r="B77" s="63"/>
    </row>
    <row r="78" spans="2:2" ht="15" x14ac:dyDescent="0.35">
      <c r="B78" s="13"/>
    </row>
    <row r="79" spans="2:2" ht="15" x14ac:dyDescent="0.35">
      <c r="B79" s="13"/>
    </row>
  </sheetData>
  <sheetProtection sheet="1" objects="1" scenarios="1"/>
  <mergeCells count="1">
    <mergeCell ref="B1:C1"/>
  </mergeCells>
  <phoneticPr fontId="16" type="noConversion"/>
  <printOptions gridLines="1"/>
  <pageMargins left="0.95" right="0.45" top="0.75" bottom="0.75" header="0.3" footer="0.3"/>
  <pageSetup scale="74" orientation="portrait" r:id="rId1"/>
  <headerFoot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32:L44"/>
  <sheetViews>
    <sheetView topLeftCell="A5" workbookViewId="0">
      <selection activeCell="I74" sqref="I74"/>
    </sheetView>
  </sheetViews>
  <sheetFormatPr defaultRowHeight="12.45" x14ac:dyDescent="0.3"/>
  <cols>
    <col min="1" max="1" width="4.53515625" customWidth="1"/>
    <col min="6" max="6" width="11.69140625" customWidth="1"/>
    <col min="7" max="7" width="11.15234375" customWidth="1"/>
    <col min="9" max="9" width="20" customWidth="1"/>
    <col min="10" max="10" width="16.69140625" customWidth="1"/>
    <col min="11" max="11" width="13.4609375" customWidth="1"/>
    <col min="12" max="12" width="12.84375" customWidth="1"/>
  </cols>
  <sheetData>
    <row r="32" spans="2:2" ht="15.45" x14ac:dyDescent="0.4">
      <c r="B32" s="1" t="s">
        <v>152</v>
      </c>
    </row>
    <row r="33" spans="2:12" ht="15.45" x14ac:dyDescent="0.4">
      <c r="F33" s="6" t="s">
        <v>6</v>
      </c>
      <c r="I33" s="1" t="s">
        <v>156</v>
      </c>
    </row>
    <row r="34" spans="2:12" ht="15.45" x14ac:dyDescent="0.4">
      <c r="B34" s="8" t="s">
        <v>14</v>
      </c>
      <c r="F34" s="154">
        <f>'1. CattleFinisih&amp;ROI Projection'!D97</f>
        <v>-94.819220063838344</v>
      </c>
      <c r="J34" s="6" t="s">
        <v>11</v>
      </c>
      <c r="K34" s="1" t="s">
        <v>164</v>
      </c>
      <c r="L34" s="6" t="s">
        <v>160</v>
      </c>
    </row>
    <row r="35" spans="2:12" ht="15" x14ac:dyDescent="0.35">
      <c r="B35" s="8" t="s">
        <v>15</v>
      </c>
      <c r="F35" s="154">
        <f>'1. CattleFinisih&amp;ROI Projection'!D98</f>
        <v>108.5661247341932</v>
      </c>
      <c r="I35" s="8" t="s">
        <v>157</v>
      </c>
      <c r="J35" s="155">
        <f>'1. CattleFinisih&amp;ROI Projection'!F37</f>
        <v>124016.32653061225</v>
      </c>
      <c r="K35" s="158">
        <f t="shared" ref="K35:K40" si="0">J35/$J$41</f>
        <v>0.62805430333837908</v>
      </c>
      <c r="L35" s="60">
        <f>J35/'1. CattleFinisih&amp;ROI Projection'!$F$31</f>
        <v>1252.6901669758813</v>
      </c>
    </row>
    <row r="36" spans="2:12" ht="15.45" x14ac:dyDescent="0.4">
      <c r="B36" s="1" t="s">
        <v>16</v>
      </c>
      <c r="F36" s="157">
        <f>'1. CattleFinisih&amp;ROI Projection'!D99</f>
        <v>13.746904670354818</v>
      </c>
      <c r="I36" s="8" t="s">
        <v>68</v>
      </c>
      <c r="J36" s="155">
        <f>'1. CattleFinisih&amp;ROI Projection'!F43+'1. CattleFinisih&amp;ROI Projection'!F44</f>
        <v>67358.567999999999</v>
      </c>
      <c r="K36" s="158">
        <f t="shared" si="0"/>
        <v>0.34112313823993395</v>
      </c>
      <c r="L36" s="60">
        <f>J36/'1. CattleFinisih&amp;ROI Projection'!$F$31</f>
        <v>680.3895757575757</v>
      </c>
    </row>
    <row r="37" spans="2:12" ht="15.45" x14ac:dyDescent="0.4">
      <c r="B37" s="1"/>
      <c r="F37" s="157"/>
      <c r="I37" s="281" t="s">
        <v>268</v>
      </c>
      <c r="J37" s="155">
        <f>'1. CattleFinisih&amp;ROI Projection'!F45</f>
        <v>2000</v>
      </c>
      <c r="K37" s="309">
        <f t="shared" si="0"/>
        <v>1.0128574533827202E-2</v>
      </c>
      <c r="L37" s="60">
        <f>J37/'1. CattleFinisih&amp;ROI Projection'!$F$31</f>
        <v>20.202020202020201</v>
      </c>
    </row>
    <row r="38" spans="2:12" ht="15" x14ac:dyDescent="0.35">
      <c r="I38" s="8" t="s">
        <v>163</v>
      </c>
      <c r="J38" s="155">
        <f>SUM('1. CattleFinisih&amp;ROI Projection'!F46:F48)</f>
        <v>500</v>
      </c>
      <c r="K38" s="309">
        <f t="shared" si="0"/>
        <v>2.5321436334568006E-3</v>
      </c>
      <c r="L38" s="60">
        <f>J38/'1. CattleFinisih&amp;ROI Projection'!$F$31</f>
        <v>5.0505050505050502</v>
      </c>
    </row>
    <row r="39" spans="2:12" ht="15" x14ac:dyDescent="0.35">
      <c r="G39" s="10" t="s">
        <v>161</v>
      </c>
      <c r="H39" s="10" t="s">
        <v>1</v>
      </c>
      <c r="I39" s="8" t="s">
        <v>158</v>
      </c>
      <c r="J39" s="155">
        <f>'1. CattleFinisih&amp;ROI Projection'!F56</f>
        <v>2500</v>
      </c>
      <c r="K39" s="309">
        <f t="shared" si="0"/>
        <v>1.2660718167284004E-2</v>
      </c>
      <c r="L39" s="60">
        <f>J39/'1. CattleFinisih&amp;ROI Projection'!$F$31</f>
        <v>25.252525252525253</v>
      </c>
    </row>
    <row r="40" spans="2:12" ht="15" x14ac:dyDescent="0.35">
      <c r="B40" s="8" t="s">
        <v>153</v>
      </c>
      <c r="G40" s="156">
        <f>'1. CattleFinisih&amp;ROI Projection'!K103</f>
        <v>808.08080808080808</v>
      </c>
      <c r="H40" s="8">
        <f>'1. CattleFinisih&amp;ROI Projection'!F11</f>
        <v>100</v>
      </c>
      <c r="I40" s="8" t="s">
        <v>162</v>
      </c>
      <c r="J40" s="155">
        <f>'1. CattleFinisih&amp;ROI Projection'!F62</f>
        <v>1086.2579070226448</v>
      </c>
      <c r="K40" s="309">
        <f t="shared" si="0"/>
        <v>5.5011220871189984E-3</v>
      </c>
      <c r="L40" s="60">
        <f>J40/'1. CattleFinisih&amp;ROI Projection'!$F$31</f>
        <v>10.972302091137825</v>
      </c>
    </row>
    <row r="41" spans="2:12" ht="15.45" x14ac:dyDescent="0.4">
      <c r="B41" s="8" t="s">
        <v>154</v>
      </c>
      <c r="G41" s="156">
        <f>'1. CattleFinisih&amp;ROI Projection'!K104</f>
        <v>1401.6</v>
      </c>
      <c r="H41" s="8">
        <f>'1. CattleFinisih&amp;ROI Projection'!F31</f>
        <v>99</v>
      </c>
      <c r="I41" s="1" t="s">
        <v>159</v>
      </c>
      <c r="J41" s="88">
        <f>'1. CattleFinisih&amp;ROI Projection'!F64</f>
        <v>197461.15243763488</v>
      </c>
      <c r="L41" s="88">
        <f>SUM(L35:L40)</f>
        <v>1994.5570953296451</v>
      </c>
    </row>
    <row r="42" spans="2:12" ht="15" x14ac:dyDescent="0.35">
      <c r="B42" s="8" t="s">
        <v>155</v>
      </c>
      <c r="G42" s="156">
        <f>'1. CattleFinisih&amp;ROI Projection'!K105</f>
        <v>593.51919191919183</v>
      </c>
      <c r="H42" s="8"/>
    </row>
    <row r="44" spans="2:12" ht="15.45" x14ac:dyDescent="0.4">
      <c r="G44" s="1" t="s">
        <v>249</v>
      </c>
      <c r="L44" s="44">
        <f>'1. CattleFinisih&amp;ROI Projection'!D85</f>
        <v>124.99459806091156</v>
      </c>
    </row>
  </sheetData>
  <sheetProtection sheet="1" objects="1" scenarios="1"/>
  <phoneticPr fontId="21" type="noConversion"/>
  <pageMargins left="0.95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1. CattleFinisih&amp;ROI Projection</vt:lpstr>
      <vt:lpstr>2. Cost Sensitivity Analysis</vt:lpstr>
      <vt:lpstr>3.Performance Report</vt:lpstr>
      <vt:lpstr>4. Graphs</vt:lpstr>
      <vt:lpstr>margin_slide</vt:lpstr>
      <vt:lpstr>'1. CattleFinisih&amp;ROI Projection'!Print_Area</vt:lpstr>
      <vt:lpstr>'2. Cost Sensitivity Analysis'!Print_Area</vt:lpstr>
      <vt:lpstr>'3.Performance Report'!Print_Area</vt:lpstr>
      <vt:lpstr>'4. Graphs'!Print_Area</vt:lpstr>
      <vt:lpstr>sell_keep</vt:lpstr>
    </vt:vector>
  </TitlesOfParts>
  <Company>Texas A&amp;M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 Kolle</dc:creator>
  <cp:lastModifiedBy>Jim McGrann</cp:lastModifiedBy>
  <cp:lastPrinted>2022-04-13T08:11:28Z</cp:lastPrinted>
  <dcterms:created xsi:type="dcterms:W3CDTF">2000-10-06T20:53:55Z</dcterms:created>
  <dcterms:modified xsi:type="dcterms:W3CDTF">2022-04-13T08:11:50Z</dcterms:modified>
</cp:coreProperties>
</file>