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gra\Documents\2022 TAMU Beef Dec. Aids 4-13-2022\D. Retained Ownership 4-13-2022\1. D 1-2  Web Stocker Calves Stockers Retained Ownerhsip 4-13-20220\"/>
    </mc:Choice>
  </mc:AlternateContent>
  <xr:revisionPtr revIDLastSave="0" documentId="13_ncr:1_{E59C5136-F401-42D9-9853-B19FFC0E8127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ell or Upgrade Cull Cows" sheetId="1" r:id="rId1"/>
    <sheet name="Margin &amp; Summary" sheetId="2" r:id="rId2"/>
    <sheet name="SensitivityAnalysis" sheetId="3" r:id="rId3"/>
  </sheets>
  <definedNames>
    <definedName name="margin_slide">'Margin &amp; Summary'!$B$1</definedName>
    <definedName name="_xlnm.Print_Area" localSheetId="1">'Margin &amp; Summary'!$B$1:$F$58</definedName>
    <definedName name="_xlnm.Print_Area" localSheetId="0">'Sell or Upgrade Cull Cows'!$A$1:$G$77</definedName>
    <definedName name="_xlnm.Print_Area" localSheetId="2">SensitivityAnalysis!$B$1:$I$29</definedName>
    <definedName name="sell_keep">'Sell or Upgrade Cull Cows'!$A$1</definedName>
    <definedName name="sensitivity">SensitivityAnalysis!$B$1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2" i="1" l="1"/>
  <c r="E49" i="1" l="1"/>
  <c r="C51" i="1"/>
  <c r="C52" i="1" s="1"/>
  <c r="E52" i="1" s="1"/>
  <c r="E51" i="1"/>
  <c r="E37" i="1"/>
  <c r="K26" i="1" s="1"/>
  <c r="F38" i="2"/>
  <c r="D38" i="2"/>
  <c r="F37" i="2"/>
  <c r="D37" i="2"/>
  <c r="F36" i="2"/>
  <c r="D36" i="2"/>
  <c r="B4" i="2"/>
  <c r="C54" i="2"/>
  <c r="E44" i="2"/>
  <c r="E12" i="1"/>
  <c r="E48" i="2" s="1"/>
  <c r="C25" i="1"/>
  <c r="E25" i="1" s="1"/>
  <c r="E47" i="1"/>
  <c r="E48" i="1"/>
  <c r="E55" i="1"/>
  <c r="K66" i="1"/>
  <c r="E5" i="1"/>
  <c r="E17" i="3"/>
  <c r="L24" i="3" s="1"/>
  <c r="F17" i="3"/>
  <c r="I17" i="3"/>
  <c r="L20" i="3" s="1"/>
  <c r="E6" i="3"/>
  <c r="B6" i="3"/>
  <c r="H17" i="3"/>
  <c r="L18" i="3" s="1"/>
  <c r="K8" i="3"/>
  <c r="C7" i="3"/>
  <c r="E14" i="1" l="1"/>
  <c r="E17" i="1" s="1"/>
  <c r="K32" i="1"/>
  <c r="E53" i="1"/>
  <c r="D53" i="1" s="1"/>
  <c r="K9" i="3"/>
  <c r="E24" i="1"/>
  <c r="C46" i="1"/>
  <c r="E46" i="1" s="1"/>
  <c r="B91" i="1"/>
  <c r="E27" i="1"/>
  <c r="C12" i="2"/>
  <c r="D12" i="2" s="1"/>
  <c r="F6" i="3"/>
  <c r="L22" i="3"/>
  <c r="D19" i="1" l="1"/>
  <c r="E21" i="1" s="1"/>
  <c r="F27" i="1"/>
  <c r="E29" i="1"/>
  <c r="C24" i="3"/>
  <c r="C19" i="1" l="1"/>
  <c r="E31" i="1"/>
  <c r="E30" i="1"/>
  <c r="E51" i="2"/>
  <c r="E32" i="1"/>
  <c r="C8" i="3"/>
  <c r="E55" i="2"/>
  <c r="F37" i="1"/>
  <c r="B93" i="1"/>
  <c r="B95" i="1" s="1"/>
  <c r="G28" i="1"/>
  <c r="G27" i="1"/>
  <c r="D48" i="2"/>
  <c r="F48" i="2" s="1"/>
  <c r="E19" i="1"/>
  <c r="C26" i="3"/>
  <c r="Q12" i="3"/>
  <c r="R12" i="3" s="1"/>
  <c r="C22" i="3"/>
  <c r="C23" i="3"/>
  <c r="C25" i="3"/>
  <c r="F21" i="1"/>
  <c r="E38" i="1" l="1"/>
  <c r="E35" i="1"/>
  <c r="G40" i="1"/>
  <c r="G37" i="1"/>
  <c r="Q13" i="3"/>
  <c r="R13" i="3" s="1"/>
  <c r="Q14" i="3"/>
  <c r="R14" i="3" s="1"/>
  <c r="K36" i="1"/>
  <c r="K13" i="3"/>
  <c r="Q11" i="3"/>
  <c r="R11" i="3" s="1"/>
  <c r="Q10" i="3"/>
  <c r="R10" i="3" s="1"/>
  <c r="C45" i="1" l="1"/>
  <c r="E45" i="1" s="1"/>
  <c r="C9" i="3"/>
  <c r="E40" i="1"/>
  <c r="E39" i="1"/>
  <c r="N13" i="3"/>
  <c r="K60" i="1" l="1"/>
  <c r="L60" i="1" s="1"/>
  <c r="E59" i="1" s="1"/>
  <c r="E72" i="1" s="1"/>
  <c r="K26" i="3" s="1"/>
  <c r="E54" i="1"/>
  <c r="D54" i="1" s="1"/>
  <c r="E42" i="1"/>
  <c r="F42" i="1" s="1"/>
  <c r="B87" i="1"/>
  <c r="E63" i="1" s="1"/>
  <c r="N18" i="3"/>
  <c r="M18" i="3" s="1"/>
  <c r="N20" i="3"/>
  <c r="M20" i="3" s="1"/>
  <c r="N24" i="3"/>
  <c r="M24" i="3" s="1"/>
  <c r="N22" i="3"/>
  <c r="M22" i="3" s="1"/>
  <c r="D51" i="2"/>
  <c r="F51" i="2" s="1"/>
  <c r="B81" i="1"/>
  <c r="K34" i="1"/>
  <c r="K74" i="1"/>
  <c r="F74" i="1" s="1"/>
  <c r="F12" i="2" s="1"/>
  <c r="K69" i="1"/>
  <c r="K11" i="3"/>
  <c r="F58" i="1" l="1"/>
  <c r="O22" i="3"/>
  <c r="P22" i="3" s="1"/>
  <c r="O24" i="3"/>
  <c r="P24" i="3" s="1"/>
  <c r="O18" i="3"/>
  <c r="P18" i="3" s="1"/>
  <c r="K15" i="3"/>
  <c r="N11" i="3"/>
  <c r="K38" i="1"/>
  <c r="E67" i="1"/>
  <c r="D6" i="2"/>
  <c r="O20" i="3"/>
  <c r="P20" i="3" s="1"/>
  <c r="F55" i="1"/>
  <c r="S12" i="3" l="1"/>
  <c r="G24" i="3" s="1"/>
  <c r="S11" i="3"/>
  <c r="G23" i="3" s="1"/>
  <c r="S13" i="3"/>
  <c r="G25" i="3" s="1"/>
  <c r="S10" i="3"/>
  <c r="G22" i="3" s="1"/>
  <c r="S14" i="3"/>
  <c r="G26" i="3" s="1"/>
  <c r="N15" i="3"/>
  <c r="D59" i="1"/>
  <c r="E60" i="1"/>
  <c r="E62" i="1" l="1"/>
  <c r="G18" i="3" s="1"/>
  <c r="F62" i="1"/>
  <c r="E22" i="3"/>
  <c r="I24" i="3"/>
  <c r="I23" i="3"/>
  <c r="H24" i="3"/>
  <c r="E23" i="3"/>
  <c r="F24" i="3"/>
  <c r="E24" i="3"/>
  <c r="H23" i="3"/>
  <c r="H22" i="3"/>
  <c r="E25" i="3"/>
  <c r="F23" i="3"/>
  <c r="E26" i="3"/>
  <c r="I22" i="3"/>
  <c r="H26" i="3"/>
  <c r="F22" i="3"/>
  <c r="H25" i="3"/>
  <c r="I26" i="3"/>
  <c r="F26" i="3"/>
  <c r="I25" i="3"/>
  <c r="B97" i="1"/>
  <c r="B83" i="1" s="1"/>
  <c r="E65" i="1"/>
  <c r="K75" i="1" s="1"/>
  <c r="D60" i="1"/>
  <c r="E61" i="1"/>
  <c r="G16" i="3" s="1"/>
  <c r="D55" i="2"/>
  <c r="F55" i="2" s="1"/>
  <c r="F25" i="3"/>
  <c r="C13" i="2" l="1"/>
  <c r="D13" i="2" s="1"/>
  <c r="F65" i="1"/>
  <c r="E69" i="1"/>
  <c r="K68" i="1"/>
  <c r="K67" i="1" s="1"/>
  <c r="D65" i="1"/>
  <c r="K76" i="1"/>
  <c r="E74" i="1" s="1"/>
  <c r="F16" i="2" s="1"/>
  <c r="E18" i="3"/>
  <c r="H18" i="3"/>
  <c r="F18" i="3"/>
  <c r="I18" i="3"/>
  <c r="D8" i="2"/>
  <c r="B85" i="1"/>
  <c r="D10" i="2" s="1"/>
  <c r="E68" i="1"/>
  <c r="E75" i="1" l="1"/>
  <c r="K65" i="1"/>
  <c r="K72" i="1" l="1"/>
  <c r="F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McGrann</author>
  </authors>
  <commentList>
    <comment ref="G2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With death loss adjustment but not marketing shrink. Weaning to Backgrounded weight.</t>
        </r>
      </text>
    </comment>
    <comment ref="A3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 Use the slide calculator on the next page to modify this value.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 xml:space="preserve"> Adjusted for both shrink and death loss. Weaning weight to market payweight.</t>
        </r>
      </text>
    </comment>
    <comment ref="A4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Include facilities, feed, pasture, machinery &amp; vehicle and labor costs or feedyard cost.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 Target margin +Interest
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If net gain is negative then cost of gain is not defined.</t>
        </r>
      </text>
    </comment>
    <comment ref="A6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Weaned payweight times the retained payweight sales price - the net weaned sales payweight  price.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 Sales price minus the cost of gain times the net gain.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 Net margin is the sum of market plus feeding margin.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72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If ROA/ROE is positive and greater than 1 then debt cost is less than return and use is favorable.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 Target margin +Interest
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Net income + target margin + interest paid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5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 Net income + target margin divided by annualized equity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 xml:space="preserve"> Divided by cattle marketed to  adjust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McGrann</author>
  </authors>
  <commentList>
    <comment ref="B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Payweight times the retained payweight sales price - the net weaned sales payweight  price.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Divided by cattle marketed to adjust for death loss.</t>
        </r>
      </text>
    </comment>
    <comment ref="B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 Sales price minus the cost of gain times the net gain.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 The sum of the marketing and grazing or  feeding margin. Net income per head.
</t>
        </r>
      </text>
    </comment>
    <comment ref="F11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 Target margin +Interest
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Net income + target margin + interest paid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Net income + target margin + interest paid divided by annualized capital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 Net after shrink of weaning weight.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1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 Net after shrink on cattle out.  Gain is based on weaning weight adjusted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5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 Includes only actual cash interest cost of capital.</t>
        </r>
      </text>
    </comment>
    <comment ref="E5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 Net after shrink on cattle out.  Gain is based on weaning weight adjusted for death loss.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<sst xmlns="http://schemas.openxmlformats.org/spreadsheetml/2006/main" count="301" uniqueCount="211">
  <si>
    <t>Date of Analysis</t>
  </si>
  <si>
    <t xml:space="preserve">   At Best Market Option - Describe</t>
  </si>
  <si>
    <t xml:space="preserve">     Date Marketed</t>
  </si>
  <si>
    <t>Head</t>
  </si>
  <si>
    <t>Lb.</t>
  </si>
  <si>
    <t>%</t>
  </si>
  <si>
    <t xml:space="preserve">     Net Payweight</t>
  </si>
  <si>
    <t xml:space="preserve">     Gross Payweight Price</t>
  </si>
  <si>
    <t>$/Cwt.</t>
  </si>
  <si>
    <t xml:space="preserve">     Marketing Costs - Commissions</t>
  </si>
  <si>
    <t>% - $/Head</t>
  </si>
  <si>
    <t xml:space="preserve">     Marketing Costs - Per Head Charges</t>
  </si>
  <si>
    <t>$/Head</t>
  </si>
  <si>
    <t xml:space="preserve">     Net Payweight Sales Revenue Per Head</t>
  </si>
  <si>
    <t xml:space="preserve">     Net Payweight Sales Revenue Value Per Cwt.</t>
  </si>
  <si>
    <t>-</t>
  </si>
  <si>
    <t xml:space="preserve">Description of Retained Ownership Alternative  </t>
  </si>
  <si>
    <t xml:space="preserve">     Additional Days Held</t>
  </si>
  <si>
    <t xml:space="preserve">     Average Daily Gain </t>
  </si>
  <si>
    <t>Lb./Day</t>
  </si>
  <si>
    <t xml:space="preserve">    Gross Gain &amp; ADG</t>
  </si>
  <si>
    <t>Lb./Head</t>
  </si>
  <si>
    <t xml:space="preserve">     Net Payweight Gain and Average Daily Gain</t>
  </si>
  <si>
    <t>Lb./Head &amp; Day</t>
  </si>
  <si>
    <t xml:space="preserve">                    Net Gain (Deads In)</t>
  </si>
  <si>
    <t xml:space="preserve">     Number Marketed (Net of Death Loss)</t>
  </si>
  <si>
    <t>Total Sales Value (Based on Head Marketed)</t>
  </si>
  <si>
    <t>Total Difference in Gross Revenue (Marginal Revenue)</t>
  </si>
  <si>
    <t>Annualized</t>
  </si>
  <si>
    <t>Interest Rate</t>
  </si>
  <si>
    <t>Total</t>
  </si>
  <si>
    <t>$/Hd.</t>
  </si>
  <si>
    <t>$/Unit</t>
  </si>
  <si>
    <t>Lb. Of Gain</t>
  </si>
  <si>
    <t xml:space="preserve">     Days </t>
  </si>
  <si>
    <t>Cattle</t>
  </si>
  <si>
    <t>Price Necessary to Achieve Target Net Margin Objective</t>
  </si>
  <si>
    <t>Summary Margin Analysis*</t>
  </si>
  <si>
    <t xml:space="preserve">     $/Head</t>
  </si>
  <si>
    <t>Marketing Margin</t>
  </si>
  <si>
    <t>Feeding Margin</t>
  </si>
  <si>
    <t>Net Margin</t>
  </si>
  <si>
    <t xml:space="preserve">          Weight</t>
  </si>
  <si>
    <t>Total Sales Based on Head Outs</t>
  </si>
  <si>
    <t>Total Gain Based on Head Outs</t>
  </si>
  <si>
    <t>Net Value</t>
  </si>
  <si>
    <t>-----------------------------------------</t>
  </si>
  <si>
    <t xml:space="preserve">  Financial Target Net Margin Objective</t>
  </si>
  <si>
    <t xml:space="preserve">Financial Cost of Gain Including Net Margin $/Cwt. </t>
  </si>
  <si>
    <t>Units/Hd</t>
  </si>
  <si>
    <t>Gain / Hd.</t>
  </si>
  <si>
    <t>Out Wt.</t>
  </si>
  <si>
    <t>Input Days</t>
  </si>
  <si>
    <t>Calc. Day</t>
  </si>
  <si>
    <t xml:space="preserve">   Cost Based on Net Gain - not including interest</t>
  </si>
  <si>
    <t>Price Necessary to Achieve Target Per Head of</t>
  </si>
  <si>
    <t>Grazing or Feeding Margin</t>
  </si>
  <si>
    <t>Equity Investment</t>
  </si>
  <si>
    <t>Return on Equity %</t>
  </si>
  <si>
    <t>Percent Equity</t>
  </si>
  <si>
    <t>Return to Equity = Net + Target</t>
  </si>
  <si>
    <t>Total Assets</t>
  </si>
  <si>
    <t xml:space="preserve">                      Marketing Margin</t>
  </si>
  <si>
    <t xml:space="preserve">                      Grazing or Feeding Margin</t>
  </si>
  <si>
    <t>Return on Assets %</t>
  </si>
  <si>
    <t>Return to Assets = Net + Target Margin + Cash Interest</t>
  </si>
  <si>
    <t>Financial Leverage Situation Index or ROE/ROA</t>
  </si>
  <si>
    <t>Financial Performance</t>
  </si>
  <si>
    <t xml:space="preserve">   Processing and Health</t>
  </si>
  <si>
    <t>Target Net Margin Per Head Objective</t>
  </si>
  <si>
    <t>Cost of Nutrition, Health and Other Costs</t>
  </si>
  <si>
    <t>Summary Margin Analysis</t>
  </si>
  <si>
    <t xml:space="preserve">     Weight Before Shrink  </t>
  </si>
  <si>
    <t xml:space="preserve">     Shrink When Sold </t>
  </si>
  <si>
    <t xml:space="preserve">Net Price </t>
  </si>
  <si>
    <t>Weight</t>
  </si>
  <si>
    <t>Lb./ Head</t>
  </si>
  <si>
    <t>Decision Description</t>
  </si>
  <si>
    <t>Net Mkt. Wt.</t>
  </si>
  <si>
    <t>ADG</t>
  </si>
  <si>
    <t>$</t>
  </si>
  <si>
    <t xml:space="preserve">Interval of Change For Analysis Table </t>
  </si>
  <si>
    <t>Dol./Cwt.</t>
  </si>
  <si>
    <t/>
  </si>
  <si>
    <t>Input</t>
  </si>
  <si>
    <t>Feed &amp; Other Costs</t>
  </si>
  <si>
    <t>Total Interest</t>
  </si>
  <si>
    <t>Cash Cost</t>
  </si>
  <si>
    <t>Total Cash</t>
  </si>
  <si>
    <t>Added</t>
  </si>
  <si>
    <t>Interest</t>
  </si>
  <si>
    <t>Net Added</t>
  </si>
  <si>
    <t>% Borrowed</t>
  </si>
  <si>
    <t>Investment</t>
  </si>
  <si>
    <t xml:space="preserve"> Total</t>
  </si>
  <si>
    <t>Change</t>
  </si>
  <si>
    <t>Annualized Interest Rate</t>
  </si>
  <si>
    <t>Cost of Gain</t>
  </si>
  <si>
    <t>*Price necessary to achieve targeted net margin objective</t>
  </si>
  <si>
    <t>Sales Price Necessary For Cattle Per Cwt.</t>
  </si>
  <si>
    <t>Decrease</t>
  </si>
  <si>
    <t>Increase</t>
  </si>
  <si>
    <t xml:space="preserve">Price </t>
  </si>
  <si>
    <t>Cattle In-Price  (Dol./Cwt)*  ------------&gt;</t>
  </si>
  <si>
    <t xml:space="preserve">    Cattle In-Price </t>
  </si>
  <si>
    <t>Cost of Gain, In-Price of Cattle and Sales Price Necessary to Reach Targeted Net Margin</t>
  </si>
  <si>
    <t xml:space="preserve">    Total Cost of Gain </t>
  </si>
  <si>
    <t>Calculated Cost of Gain</t>
  </si>
  <si>
    <t xml:space="preserve">Change in Cost of Gain </t>
  </si>
  <si>
    <t>Non-Cattle Costs With Cash Interest</t>
  </si>
  <si>
    <t>Change and Associated Calculated Values</t>
  </si>
  <si>
    <t>Necessary Sales Price per Cwt. for Cattle Out</t>
  </si>
  <si>
    <t>Body Condition Score</t>
  </si>
  <si>
    <t>Cull Cow Sale</t>
  </si>
  <si>
    <t xml:space="preserve">     Weight at Culling Time </t>
  </si>
  <si>
    <t xml:space="preserve">     Shrink If Sold </t>
  </si>
  <si>
    <t xml:space="preserve">   Feed Facilities and Labor</t>
  </si>
  <si>
    <t>Feed and Other</t>
  </si>
  <si>
    <t>Cull Cow Prices by Body Condition Score (BCS) and Breeding Cow Value</t>
  </si>
  <si>
    <t>When</t>
  </si>
  <si>
    <t>After</t>
  </si>
  <si>
    <t>Culled</t>
  </si>
  <si>
    <t>Feeding</t>
  </si>
  <si>
    <t>Cull Cow Net Price</t>
  </si>
  <si>
    <t>Grade</t>
  </si>
  <si>
    <t xml:space="preserve">         Canner (BCS 1-3)</t>
  </si>
  <si>
    <t>Canner</t>
  </si>
  <si>
    <t xml:space="preserve">         Cutter (BCS 4)</t>
  </si>
  <si>
    <t>Cutter</t>
  </si>
  <si>
    <t xml:space="preserve">         Utility (BCS 5 &amp; Above)</t>
  </si>
  <si>
    <t>Utility</t>
  </si>
  <si>
    <t>Cull Cow Weight</t>
  </si>
  <si>
    <t>Weight Lb./Hd.</t>
  </si>
  <si>
    <t>Cull Cow Net Payweight Value Per Head</t>
  </si>
  <si>
    <t>Summary of Prices and Weights</t>
  </si>
  <si>
    <t xml:space="preserve">Culled Weight </t>
  </si>
  <si>
    <r>
      <t xml:space="preserve">     Gross Payweight Price - </t>
    </r>
    <r>
      <rPr>
        <b/>
        <sz val="12"/>
        <rFont val="Arial"/>
        <family val="2"/>
      </rPr>
      <t>See Next Page</t>
    </r>
  </si>
  <si>
    <t>Annualized Return on Assets - ROA - (Including Net Margin Objective)      %</t>
  </si>
  <si>
    <t>Annualized Return on Equity - ROE - (Including Net Margin Objective)       %</t>
  </si>
  <si>
    <t xml:space="preserve">                      Net Margin Based on Number of Head Out</t>
  </si>
  <si>
    <t>For Different In-Price, Total Costs and Cattle Out-Prices*</t>
  </si>
  <si>
    <t xml:space="preserve">   Net Payweight Sales if Sold</t>
  </si>
  <si>
    <t xml:space="preserve">   Net Payweight Sales - Includes Market Cost Adjustments</t>
  </si>
  <si>
    <t xml:space="preserve">     No. of Cull Cows to be Marketed</t>
  </si>
  <si>
    <t>Sell as Calf Weaned</t>
  </si>
  <si>
    <t xml:space="preserve">ROE/ROA </t>
  </si>
  <si>
    <t>% Loss -Hd</t>
  </si>
  <si>
    <t xml:space="preserve">     Freight Cost to Market</t>
  </si>
  <si>
    <t xml:space="preserve">   $/Head</t>
  </si>
  <si>
    <t xml:space="preserve">     Freight to Market</t>
  </si>
  <si>
    <t>Auction Barn Sale</t>
  </si>
  <si>
    <t>Cull Cow BCS</t>
  </si>
  <si>
    <t>General Administrative Cost (G&amp;A) &amp; Management</t>
  </si>
  <si>
    <t xml:space="preserve">General and Administrative </t>
  </si>
  <si>
    <t xml:space="preserve">Management Cost </t>
  </si>
  <si>
    <t xml:space="preserve">    Total Marketing Cost</t>
  </si>
  <si>
    <t>$/Cwt./Hd.</t>
  </si>
  <si>
    <t xml:space="preserve">Investment </t>
  </si>
  <si>
    <t>Projected Finance Cost</t>
  </si>
  <si>
    <t>Total Annualized</t>
  </si>
  <si>
    <t xml:space="preserve">   Percent Borrowed and Cost of Capital</t>
  </si>
  <si>
    <t>Financing Cost</t>
  </si>
  <si>
    <t>Borrowed</t>
  </si>
  <si>
    <t>Percent</t>
  </si>
  <si>
    <t>Rate %</t>
  </si>
  <si>
    <t xml:space="preserve">    Total Marketing Cost if Sold</t>
  </si>
  <si>
    <t xml:space="preserve">     Net Payweight if Sold</t>
  </si>
  <si>
    <t>Version</t>
  </si>
  <si>
    <t xml:space="preserve">Total Added Costs and Target Marginal </t>
  </si>
  <si>
    <t xml:space="preserve">   Other Cost</t>
  </si>
  <si>
    <t>Direct Costs</t>
  </si>
  <si>
    <t>Cost Per Head Out - Sold</t>
  </si>
  <si>
    <t>$/Head In</t>
  </si>
  <si>
    <t>Marketing Margin - Head In</t>
  </si>
  <si>
    <t>Total Purchase  - Head In</t>
  </si>
  <si>
    <t>Transfer Price</t>
  </si>
  <si>
    <t>Before Shrink</t>
  </si>
  <si>
    <t xml:space="preserve">     Net Payweight Sales Revenue Value If Sold</t>
  </si>
  <si>
    <t xml:space="preserve">    Total Unrealized Sales Value  if Sold</t>
  </si>
  <si>
    <t xml:space="preserve">       Total</t>
  </si>
  <si>
    <t>$/Hd. Out</t>
  </si>
  <si>
    <t>After Feeding Based on Head Out</t>
  </si>
  <si>
    <t>Target ROA</t>
  </si>
  <si>
    <t>Put in ranch feed pen - sold in load - direct sale</t>
  </si>
  <si>
    <t xml:space="preserve">      Total</t>
  </si>
  <si>
    <t>Net Margin Above Target Return</t>
  </si>
  <si>
    <t>Total Net Income</t>
  </si>
  <si>
    <t>Target Margin</t>
  </si>
  <si>
    <t>Financial Advantage of Retained Cows &amp; Target Margin</t>
  </si>
  <si>
    <t>$/Head Out</t>
  </si>
  <si>
    <t>Total Gain</t>
  </si>
  <si>
    <t>% Loss</t>
  </si>
  <si>
    <t xml:space="preserve">   Interest Cost</t>
  </si>
  <si>
    <t>Total Net</t>
  </si>
  <si>
    <t>Cattle In-Price and Cost Sensitivity Analysis on Necessary Price for Target Margin</t>
  </si>
  <si>
    <t>Starting Pay Weight (Lb./Head)</t>
  </si>
  <si>
    <t>Projected Net Market Weight (Lb./Head)</t>
  </si>
  <si>
    <t>Projected Net Gain (Lb./Head)</t>
  </si>
  <si>
    <t xml:space="preserve"> Interest Cost</t>
  </si>
  <si>
    <t>Sell cull cows or feed them to sell later at a higher grade</t>
  </si>
  <si>
    <t>Total Weight</t>
  </si>
  <si>
    <t>Total Production Cost</t>
  </si>
  <si>
    <t>Cost of Net Payweight Gain With Target Margin</t>
  </si>
  <si>
    <t>Without Target</t>
  </si>
  <si>
    <t>Actual Price</t>
  </si>
  <si>
    <t>Value of Gain</t>
  </si>
  <si>
    <t xml:space="preserve">     $/Cwt.</t>
  </si>
  <si>
    <t>Above Target</t>
  </si>
  <si>
    <t>Sell or Keep to Upgrade Cull Cows Profit Projection</t>
  </si>
  <si>
    <t xml:space="preserve">   Feed/Grazing  Cost Based on Days Fed or Grazed</t>
  </si>
  <si>
    <t>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</si>
</sst>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dd\-mmm\-yy_)"/>
    <numFmt numFmtId="166" formatCode="0_)"/>
    <numFmt numFmtId="167" formatCode="&quot;$&quot;#,##0.00"/>
    <numFmt numFmtId="168" formatCode="0.0_)"/>
    <numFmt numFmtId="169" formatCode="&quot;$&quot;#,##0"/>
    <numFmt numFmtId="170" formatCode="[$$-409]#,##0.00_);\([$$-409]#,##0.00\)"/>
    <numFmt numFmtId="171" formatCode="[$$-409]#,##0.00_);[Red]\([$$-409]#,##0.00\)"/>
    <numFmt numFmtId="172" formatCode="[$$-409]#,##0.00"/>
    <numFmt numFmtId="173" formatCode="0.000"/>
    <numFmt numFmtId="174" formatCode="_(* #,##0_);_(* \(#,##0\);_(* &quot;-&quot;??_);_(@_)"/>
    <numFmt numFmtId="175" formatCode="[$$-409]#,##0"/>
    <numFmt numFmtId="176" formatCode="&quot;$&quot;#,##0.000_);\(&quot;$&quot;#,##0.000\)"/>
    <numFmt numFmtId="177" formatCode="[$$-409]#,##0_);\([$$-409]#,##0\)"/>
    <numFmt numFmtId="178" formatCode="0.0_);\(0.0\)"/>
    <numFmt numFmtId="179" formatCode="0_);\(0\)"/>
    <numFmt numFmtId="180" formatCode="0.00_);\(0.00\)"/>
    <numFmt numFmtId="181" formatCode="0.000_)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39"/>
      <name val="Arial"/>
      <family val="2"/>
    </font>
    <font>
      <b/>
      <sz val="12"/>
      <color indexed="12"/>
      <name val="Arial"/>
      <family val="2"/>
    </font>
    <font>
      <sz val="12"/>
      <color rgb="FFC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15" fontId="4" fillId="0" borderId="0" xfId="0" applyNumberFormat="1" applyFont="1" applyAlignment="1" applyProtection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166" fontId="6" fillId="0" borderId="0" xfId="0" applyNumberFormat="1" applyFont="1" applyProtection="1"/>
    <xf numFmtId="15" fontId="0" fillId="0" borderId="0" xfId="0" applyNumberFormat="1"/>
    <xf numFmtId="3" fontId="0" fillId="0" borderId="0" xfId="0" applyNumberFormat="1"/>
    <xf numFmtId="167" fontId="6" fillId="0" borderId="0" xfId="0" applyNumberFormat="1" applyFont="1"/>
    <xf numFmtId="0" fontId="2" fillId="0" borderId="0" xfId="0" applyFont="1" applyAlignment="1">
      <alignment horizontal="center"/>
    </xf>
    <xf numFmtId="5" fontId="2" fillId="0" borderId="0" xfId="0" applyNumberFormat="1" applyFont="1" applyProtection="1"/>
    <xf numFmtId="0" fontId="4" fillId="0" borderId="0" xfId="0" applyFont="1" applyAlignment="1">
      <alignment horizontal="fill"/>
    </xf>
    <xf numFmtId="0" fontId="4" fillId="0" borderId="0" xfId="0" applyFont="1"/>
    <xf numFmtId="168" fontId="3" fillId="2" borderId="3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66" fontId="3" fillId="2" borderId="3" xfId="0" applyNumberFormat="1" applyFont="1" applyFill="1" applyBorder="1" applyProtection="1">
      <protection locked="0"/>
    </xf>
    <xf numFmtId="7" fontId="2" fillId="0" borderId="0" xfId="0" applyNumberFormat="1" applyFont="1" applyProtection="1"/>
    <xf numFmtId="169" fontId="0" fillId="0" borderId="0" xfId="0" applyNumberFormat="1"/>
    <xf numFmtId="5" fontId="0" fillId="0" borderId="0" xfId="0" applyNumberFormat="1" applyProtection="1"/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NumberFormat="1" applyFont="1" applyAlignment="1">
      <alignment vertical="center"/>
    </xf>
    <xf numFmtId="0" fontId="3" fillId="0" borderId="0" xfId="0" applyFont="1" applyProtection="1">
      <protection locked="0"/>
    </xf>
    <xf numFmtId="0" fontId="6" fillId="0" borderId="0" xfId="0" applyFont="1" applyProtection="1"/>
    <xf numFmtId="7" fontId="6" fillId="0" borderId="0" xfId="0" applyNumberFormat="1" applyFont="1" applyProtection="1"/>
    <xf numFmtId="0" fontId="6" fillId="0" borderId="0" xfId="0" applyFont="1" applyAlignment="1">
      <alignment horizontal="center"/>
    </xf>
    <xf numFmtId="170" fontId="6" fillId="0" borderId="0" xfId="0" applyNumberFormat="1" applyFont="1" applyProtection="1"/>
    <xf numFmtId="0" fontId="2" fillId="0" borderId="0" xfId="0" applyFont="1" applyAlignment="1">
      <alignment horizontal="fill"/>
    </xf>
    <xf numFmtId="7" fontId="2" fillId="0" borderId="0" xfId="0" applyNumberFormat="1" applyFont="1" applyAlignment="1" applyProtection="1">
      <alignment horizontal="right"/>
    </xf>
    <xf numFmtId="166" fontId="2" fillId="0" borderId="0" xfId="0" applyNumberFormat="1" applyFont="1" applyProtection="1"/>
    <xf numFmtId="171" fontId="0" fillId="0" borderId="0" xfId="0" applyNumberFormat="1"/>
    <xf numFmtId="7" fontId="0" fillId="0" borderId="0" xfId="0" applyNumberFormat="1"/>
    <xf numFmtId="44" fontId="0" fillId="0" borderId="0" xfId="0" applyNumberFormat="1"/>
    <xf numFmtId="0" fontId="8" fillId="0" borderId="0" xfId="0" applyFont="1"/>
    <xf numFmtId="172" fontId="0" fillId="0" borderId="0" xfId="0" applyNumberFormat="1"/>
    <xf numFmtId="0" fontId="11" fillId="0" borderId="0" xfId="0" applyFont="1"/>
    <xf numFmtId="170" fontId="0" fillId="0" borderId="0" xfId="0" applyNumberFormat="1"/>
    <xf numFmtId="170" fontId="2" fillId="0" borderId="0" xfId="0" applyNumberFormat="1" applyFont="1"/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" fontId="6" fillId="0" borderId="0" xfId="0" applyNumberFormat="1" applyFont="1"/>
    <xf numFmtId="166" fontId="6" fillId="0" borderId="0" xfId="0" applyNumberFormat="1" applyFont="1"/>
    <xf numFmtId="166" fontId="6" fillId="0" borderId="0" xfId="0" applyNumberFormat="1" applyFont="1" applyAlignment="1">
      <alignment horizontal="left" indent="6"/>
    </xf>
    <xf numFmtId="172" fontId="6" fillId="0" borderId="0" xfId="0" applyNumberFormat="1" applyFont="1"/>
    <xf numFmtId="0" fontId="6" fillId="0" borderId="0" xfId="0" quotePrefix="1" applyFont="1"/>
    <xf numFmtId="7" fontId="2" fillId="0" borderId="0" xfId="0" applyNumberFormat="1" applyFont="1" applyAlignment="1">
      <alignment horizontal="center"/>
    </xf>
    <xf numFmtId="166" fontId="3" fillId="0" borderId="3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7" fontId="3" fillId="0" borderId="3" xfId="0" applyNumberFormat="1" applyFont="1" applyBorder="1" applyProtection="1">
      <protection locked="0"/>
    </xf>
    <xf numFmtId="0" fontId="6" fillId="0" borderId="0" xfId="0" applyFont="1" applyAlignment="1">
      <alignment horizontal="fill"/>
    </xf>
    <xf numFmtId="37" fontId="6" fillId="0" borderId="0" xfId="0" applyNumberFormat="1" applyFont="1" applyProtection="1"/>
    <xf numFmtId="168" fontId="6" fillId="0" borderId="0" xfId="0" applyNumberFormat="1" applyFont="1"/>
    <xf numFmtId="168" fontId="6" fillId="0" borderId="0" xfId="0" applyNumberFormat="1" applyFont="1" applyProtection="1"/>
    <xf numFmtId="2" fontId="6" fillId="0" borderId="0" xfId="0" applyNumberFormat="1" applyFont="1" applyProtection="1"/>
    <xf numFmtId="5" fontId="6" fillId="0" borderId="0" xfId="0" applyNumberFormat="1" applyFont="1" applyProtection="1"/>
    <xf numFmtId="0" fontId="6" fillId="0" borderId="0" xfId="0" quotePrefix="1" applyFont="1" applyAlignment="1">
      <alignment horizontal="center"/>
    </xf>
    <xf numFmtId="173" fontId="0" fillId="0" borderId="0" xfId="0" applyNumberFormat="1"/>
    <xf numFmtId="44" fontId="0" fillId="0" borderId="0" xfId="2" applyFont="1"/>
    <xf numFmtId="44" fontId="0" fillId="0" borderId="0" xfId="2" applyFont="1" applyProtection="1"/>
    <xf numFmtId="3" fontId="6" fillId="0" borderId="0" xfId="0" applyNumberFormat="1" applyFont="1" applyProtection="1"/>
    <xf numFmtId="7" fontId="6" fillId="0" borderId="0" xfId="0" applyNumberFormat="1" applyFont="1"/>
    <xf numFmtId="0" fontId="8" fillId="0" borderId="0" xfId="0" applyFont="1" applyAlignment="1">
      <alignment horizontal="fill"/>
    </xf>
    <xf numFmtId="165" fontId="6" fillId="2" borderId="0" xfId="0" applyNumberFormat="1" applyFont="1" applyFill="1" applyBorder="1" applyProtection="1"/>
    <xf numFmtId="166" fontId="0" fillId="0" borderId="0" xfId="0" applyNumberFormat="1"/>
    <xf numFmtId="164" fontId="2" fillId="0" borderId="0" xfId="0" applyNumberFormat="1" applyFont="1" applyProtection="1"/>
    <xf numFmtId="2" fontId="0" fillId="0" borderId="0" xfId="0" applyNumberFormat="1"/>
    <xf numFmtId="0" fontId="8" fillId="0" borderId="0" xfId="0" applyFont="1" applyAlignment="1">
      <alignment horizontal="center"/>
    </xf>
    <xf numFmtId="175" fontId="0" fillId="0" borderId="0" xfId="0" applyNumberFormat="1"/>
    <xf numFmtId="175" fontId="8" fillId="0" borderId="0" xfId="1" applyNumberFormat="1" applyFont="1" applyProtection="1"/>
    <xf numFmtId="175" fontId="8" fillId="0" borderId="0" xfId="0" applyNumberFormat="1" applyFont="1" applyProtection="1"/>
    <xf numFmtId="0" fontId="12" fillId="0" borderId="0" xfId="0" applyFont="1"/>
    <xf numFmtId="170" fontId="6" fillId="0" borderId="0" xfId="0" applyNumberFormat="1" applyFont="1"/>
    <xf numFmtId="175" fontId="6" fillId="0" borderId="0" xfId="0" applyNumberFormat="1" applyFont="1"/>
    <xf numFmtId="0" fontId="4" fillId="0" borderId="0" xfId="0" applyFont="1" applyAlignment="1">
      <alignment horizontal="left"/>
    </xf>
    <xf numFmtId="177" fontId="6" fillId="0" borderId="0" xfId="0" applyNumberFormat="1" applyFont="1"/>
    <xf numFmtId="178" fontId="7" fillId="0" borderId="0" xfId="0" applyNumberFormat="1" applyFont="1" applyProtection="1">
      <protection locked="0"/>
    </xf>
    <xf numFmtId="7" fontId="2" fillId="0" borderId="0" xfId="0" applyNumberFormat="1" applyFont="1"/>
    <xf numFmtId="7" fontId="6" fillId="0" borderId="0" xfId="0" applyNumberFormat="1" applyFont="1" applyBorder="1"/>
    <xf numFmtId="180" fontId="3" fillId="2" borderId="3" xfId="0" applyNumberFormat="1" applyFont="1" applyFill="1" applyBorder="1" applyProtection="1">
      <protection locked="0"/>
    </xf>
    <xf numFmtId="5" fontId="6" fillId="0" borderId="0" xfId="0" applyNumberFormat="1" applyFont="1"/>
    <xf numFmtId="7" fontId="7" fillId="0" borderId="0" xfId="0" applyNumberFormat="1" applyFont="1" applyProtection="1">
      <protection locked="0"/>
    </xf>
    <xf numFmtId="179" fontId="6" fillId="0" borderId="0" xfId="0" applyNumberFormat="1" applyFont="1" applyAlignment="1" applyProtection="1"/>
    <xf numFmtId="179" fontId="7" fillId="0" borderId="0" xfId="0" applyNumberFormat="1" applyFont="1" applyProtection="1">
      <protection locked="0"/>
    </xf>
    <xf numFmtId="179" fontId="4" fillId="0" borderId="0" xfId="0" applyNumberFormat="1" applyFont="1"/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Protection="1">
      <protection locked="0"/>
    </xf>
    <xf numFmtId="166" fontId="3" fillId="0" borderId="8" xfId="0" applyNumberFormat="1" applyFont="1" applyBorder="1" applyProtection="1">
      <protection locked="0"/>
    </xf>
    <xf numFmtId="165" fontId="3" fillId="2" borderId="9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80" fontId="6" fillId="0" borderId="0" xfId="0" applyNumberFormat="1" applyFont="1"/>
    <xf numFmtId="0" fontId="6" fillId="0" borderId="0" xfId="0" applyFont="1" applyAlignment="1">
      <alignment horizontal="left"/>
    </xf>
    <xf numFmtId="166" fontId="6" fillId="0" borderId="0" xfId="0" applyNumberFormat="1" applyFont="1" applyBorder="1" applyProtection="1"/>
    <xf numFmtId="166" fontId="6" fillId="0" borderId="0" xfId="0" applyNumberFormat="1" applyFont="1" applyBorder="1" applyProtection="1">
      <protection locked="0"/>
    </xf>
    <xf numFmtId="181" fontId="6" fillId="0" borderId="0" xfId="0" applyNumberFormat="1" applyFont="1" applyBorder="1" applyProtection="1"/>
    <xf numFmtId="181" fontId="6" fillId="0" borderId="0" xfId="0" applyNumberFormat="1" applyFont="1" applyProtection="1"/>
    <xf numFmtId="7" fontId="6" fillId="0" borderId="0" xfId="0" applyNumberFormat="1" applyFont="1" applyAlignment="1" applyProtection="1">
      <alignment horizontal="left"/>
    </xf>
    <xf numFmtId="0" fontId="6" fillId="0" borderId="0" xfId="0" applyFont="1" applyAlignment="1"/>
    <xf numFmtId="7" fontId="6" fillId="0" borderId="0" xfId="0" applyNumberFormat="1" applyFont="1" applyAlignment="1" applyProtection="1">
      <alignment horizontal="center"/>
    </xf>
    <xf numFmtId="1" fontId="4" fillId="0" borderId="0" xfId="0" applyNumberFormat="1" applyFont="1"/>
    <xf numFmtId="7" fontId="6" fillId="0" borderId="0" xfId="0" applyNumberFormat="1" applyFont="1" applyAlignment="1" applyProtection="1">
      <alignment horizontal="right"/>
    </xf>
    <xf numFmtId="1" fontId="0" fillId="0" borderId="0" xfId="0" applyNumberFormat="1"/>
    <xf numFmtId="0" fontId="0" fillId="0" borderId="0" xfId="0" applyAlignment="1">
      <alignment horizontal="fill"/>
    </xf>
    <xf numFmtId="7" fontId="6" fillId="0" borderId="0" xfId="0" applyNumberFormat="1" applyFont="1" applyAlignment="1">
      <alignment horizontal="left"/>
    </xf>
    <xf numFmtId="0" fontId="14" fillId="0" borderId="0" xfId="0" applyNumberFormat="1" applyFont="1"/>
    <xf numFmtId="0" fontId="0" fillId="0" borderId="0" xfId="0" applyNumberFormat="1"/>
    <xf numFmtId="0" fontId="1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7" fontId="7" fillId="3" borderId="3" xfId="0" applyNumberFormat="1" applyFont="1" applyFill="1" applyBorder="1" applyProtection="1">
      <protection locked="0"/>
    </xf>
    <xf numFmtId="7" fontId="15" fillId="4" borderId="0" xfId="0" applyNumberFormat="1" applyFont="1" applyFill="1"/>
    <xf numFmtId="0" fontId="15" fillId="4" borderId="0" xfId="0" applyNumberFormat="1" applyFont="1" applyFill="1"/>
    <xf numFmtId="7" fontId="0" fillId="3" borderId="0" xfId="0" applyNumberFormat="1" applyFill="1" applyAlignment="1">
      <alignment horizontal="center"/>
    </xf>
    <xf numFmtId="167" fontId="6" fillId="3" borderId="3" xfId="0" applyNumberFormat="1" applyFont="1" applyFill="1" applyBorder="1"/>
    <xf numFmtId="170" fontId="2" fillId="0" borderId="0" xfId="0" applyNumberFormat="1" applyFont="1" applyProtection="1"/>
    <xf numFmtId="3" fontId="3" fillId="2" borderId="3" xfId="0" applyNumberFormat="1" applyFont="1" applyFill="1" applyBorder="1" applyProtection="1">
      <protection locked="0"/>
    </xf>
    <xf numFmtId="174" fontId="7" fillId="3" borderId="3" xfId="1" applyNumberFormat="1" applyFont="1" applyFill="1" applyBorder="1" applyProtection="1">
      <protection locked="0"/>
    </xf>
    <xf numFmtId="174" fontId="6" fillId="0" borderId="0" xfId="1" applyNumberFormat="1" applyFont="1"/>
    <xf numFmtId="174" fontId="6" fillId="0" borderId="0" xfId="1" applyNumberFormat="1" applyFont="1" applyProtection="1"/>
    <xf numFmtId="178" fontId="6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Protection="1"/>
    <xf numFmtId="179" fontId="6" fillId="0" borderId="0" xfId="0" applyNumberFormat="1" applyFont="1" applyProtection="1"/>
    <xf numFmtId="7" fontId="2" fillId="0" borderId="0" xfId="0" applyNumberFormat="1" applyFont="1" applyBorder="1" applyProtection="1"/>
    <xf numFmtId="0" fontId="2" fillId="0" borderId="0" xfId="0" applyFont="1" applyFill="1" applyProtection="1"/>
    <xf numFmtId="0" fontId="6" fillId="0" borderId="0" xfId="0" applyFont="1" applyFill="1" applyAlignment="1">
      <alignment horizontal="center" vertical="center"/>
    </xf>
    <xf numFmtId="179" fontId="6" fillId="0" borderId="0" xfId="0" applyNumberFormat="1" applyFont="1" applyFill="1"/>
    <xf numFmtId="7" fontId="2" fillId="0" borderId="0" xfId="0" applyNumberFormat="1" applyFont="1" applyFill="1" applyProtection="1"/>
    <xf numFmtId="5" fontId="2" fillId="0" borderId="0" xfId="0" applyNumberFormat="1" applyFont="1" applyFill="1" applyProtection="1"/>
    <xf numFmtId="6" fontId="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center"/>
    </xf>
    <xf numFmtId="168" fontId="2" fillId="0" borderId="0" xfId="0" applyNumberFormat="1" applyFont="1"/>
    <xf numFmtId="14" fontId="6" fillId="0" borderId="0" xfId="0" applyNumberFormat="1" applyFont="1" applyAlignment="1">
      <alignment horizontal="left"/>
    </xf>
    <xf numFmtId="5" fontId="2" fillId="0" borderId="0" xfId="0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2" fontId="2" fillId="0" borderId="0" xfId="0" applyNumberFormat="1" applyFont="1" applyProtection="1"/>
    <xf numFmtId="167" fontId="2" fillId="0" borderId="0" xfId="0" applyNumberFormat="1" applyFont="1"/>
    <xf numFmtId="7" fontId="20" fillId="0" borderId="0" xfId="0" applyNumberFormat="1" applyFont="1" applyAlignment="1">
      <alignment horizontal="right"/>
    </xf>
    <xf numFmtId="177" fontId="20" fillId="0" borderId="0" xfId="0" applyNumberFormat="1" applyFont="1"/>
    <xf numFmtId="167" fontId="0" fillId="0" borderId="0" xfId="2" applyNumberFormat="1" applyFont="1" applyProtection="1"/>
    <xf numFmtId="167" fontId="0" fillId="0" borderId="0" xfId="0" applyNumberFormat="1"/>
    <xf numFmtId="167" fontId="12" fillId="0" borderId="0" xfId="2" applyNumberFormat="1" applyFont="1"/>
    <xf numFmtId="9" fontId="2" fillId="0" borderId="0" xfId="3" applyNumberFormat="1" applyFont="1"/>
    <xf numFmtId="9" fontId="6" fillId="0" borderId="0" xfId="0" applyNumberFormat="1" applyFont="1" applyProtection="1"/>
    <xf numFmtId="166" fontId="4" fillId="0" borderId="0" xfId="0" applyNumberFormat="1" applyFont="1" applyProtection="1"/>
    <xf numFmtId="7" fontId="4" fillId="0" borderId="0" xfId="0" applyNumberFormat="1" applyFont="1" applyAlignment="1" applyProtection="1">
      <alignment horizontal="right"/>
    </xf>
    <xf numFmtId="167" fontId="8" fillId="0" borderId="0" xfId="2" applyNumberFormat="1" applyFont="1"/>
    <xf numFmtId="167" fontId="8" fillId="0" borderId="0" xfId="2" applyNumberFormat="1" applyFont="1" applyProtection="1"/>
    <xf numFmtId="178" fontId="7" fillId="0" borderId="9" xfId="0" applyNumberFormat="1" applyFont="1" applyBorder="1" applyProtection="1">
      <protection locked="0"/>
    </xf>
    <xf numFmtId="7" fontId="18" fillId="0" borderId="0" xfId="0" applyNumberFormat="1" applyFont="1" applyProtection="1">
      <protection locked="0"/>
    </xf>
    <xf numFmtId="166" fontId="19" fillId="0" borderId="3" xfId="0" applyNumberFormat="1" applyFont="1" applyBorder="1" applyProtection="1">
      <protection locked="0"/>
    </xf>
    <xf numFmtId="180" fontId="7" fillId="0" borderId="0" xfId="0" applyNumberFormat="1" applyFont="1" applyProtection="1">
      <protection locked="0"/>
    </xf>
    <xf numFmtId="5" fontId="13" fillId="0" borderId="0" xfId="0" applyNumberFormat="1" applyFont="1" applyProtection="1"/>
    <xf numFmtId="7" fontId="2" fillId="0" borderId="0" xfId="0" applyNumberFormat="1" applyFont="1" applyAlignment="1">
      <alignment horizontal="right"/>
    </xf>
    <xf numFmtId="174" fontId="6" fillId="0" borderId="0" xfId="1" applyNumberFormat="1" applyFont="1" applyBorder="1" applyProtection="1"/>
    <xf numFmtId="7" fontId="6" fillId="0" borderId="0" xfId="0" applyNumberFormat="1" applyFont="1" applyBorder="1" applyProtection="1"/>
    <xf numFmtId="0" fontId="13" fillId="0" borderId="0" xfId="0" applyFont="1" applyAlignment="1">
      <alignment horizontal="center"/>
    </xf>
    <xf numFmtId="174" fontId="21" fillId="0" borderId="0" xfId="1" applyNumberFormat="1" applyFont="1"/>
    <xf numFmtId="176" fontId="6" fillId="0" borderId="0" xfId="0" applyNumberFormat="1" applyFont="1"/>
    <xf numFmtId="0" fontId="4" fillId="0" borderId="0" xfId="0" applyFont="1" applyFill="1" applyAlignment="1">
      <alignment horizontal="center" vertical="center"/>
    </xf>
    <xf numFmtId="7" fontId="4" fillId="0" borderId="0" xfId="0" applyNumberFormat="1" applyFont="1" applyProtection="1"/>
    <xf numFmtId="0" fontId="2" fillId="0" borderId="0" xfId="0" applyFont="1" applyAlignment="1">
      <alignment horizontal="center"/>
    </xf>
    <xf numFmtId="167" fontId="2" fillId="0" borderId="0" xfId="0" applyNumberFormat="1" applyFont="1" applyProtection="1"/>
    <xf numFmtId="167" fontId="8" fillId="0" borderId="0" xfId="0" applyNumberFormat="1" applyFont="1"/>
    <xf numFmtId="171" fontId="2" fillId="0" borderId="0" xfId="0" applyNumberFormat="1" applyFont="1" applyProtection="1"/>
    <xf numFmtId="8" fontId="4" fillId="0" borderId="0" xfId="0" applyNumberFormat="1" applyFont="1"/>
    <xf numFmtId="8" fontId="2" fillId="0" borderId="0" xfId="0" applyNumberFormat="1" applyFont="1" applyProtection="1"/>
    <xf numFmtId="0" fontId="4" fillId="0" borderId="0" xfId="0" applyFont="1" applyProtection="1">
      <protection locked="0"/>
    </xf>
    <xf numFmtId="171" fontId="6" fillId="0" borderId="0" xfId="0" applyNumberFormat="1" applyFont="1" applyProtection="1"/>
    <xf numFmtId="0" fontId="13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</xdr:colOff>
      <xdr:row>0</xdr:row>
      <xdr:rowOff>108856</xdr:rowOff>
    </xdr:from>
    <xdr:to>
      <xdr:col>9</xdr:col>
      <xdr:colOff>761999</xdr:colOff>
      <xdr:row>2</xdr:row>
      <xdr:rowOff>175985</xdr:rowOff>
    </xdr:to>
    <xdr:pic>
      <xdr:nvPicPr>
        <xdr:cNvPr id="3" name="Picture 2" descr="TAMAg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699" y="108856"/>
          <a:ext cx="1616529" cy="573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97"/>
  <sheetViews>
    <sheetView tabSelected="1" topLeftCell="A9" zoomScaleNormal="100" zoomScaleSheetLayoutView="100" workbookViewId="0">
      <selection activeCell="A2" sqref="A2"/>
    </sheetView>
  </sheetViews>
  <sheetFormatPr defaultRowHeight="12.45" x14ac:dyDescent="0.3"/>
  <cols>
    <col min="1" max="1" width="53.84375" customWidth="1"/>
    <col min="2" max="2" width="12.84375" customWidth="1"/>
    <col min="3" max="3" width="10.69140625" customWidth="1"/>
    <col min="4" max="4" width="11.4609375" customWidth="1"/>
    <col min="5" max="5" width="13.4609375" customWidth="1"/>
    <col min="6" max="6" width="14" customWidth="1"/>
    <col min="7" max="7" width="12.69140625" customWidth="1"/>
    <col min="9" max="9" width="12.23046875" customWidth="1"/>
    <col min="10" max="10" width="22.4609375" customWidth="1"/>
    <col min="11" max="11" width="13.53515625" bestFit="1" customWidth="1"/>
    <col min="12" max="12" width="11.69140625" customWidth="1"/>
    <col min="13" max="13" width="12.84375" customWidth="1"/>
  </cols>
  <sheetData>
    <row r="1" spans="1:11" ht="20.05" customHeight="1" x14ac:dyDescent="0.4">
      <c r="A1" s="176" t="s">
        <v>208</v>
      </c>
      <c r="B1" s="176"/>
      <c r="C1" s="176"/>
      <c r="D1" s="176"/>
      <c r="E1" s="176"/>
      <c r="F1" s="176"/>
      <c r="G1" s="176"/>
    </row>
    <row r="2" spans="1:11" ht="20.149999999999999" customHeight="1" x14ac:dyDescent="0.3"/>
    <row r="3" spans="1:11" ht="28" customHeight="1" x14ac:dyDescent="0.3"/>
    <row r="4" spans="1:11" ht="15" x14ac:dyDescent="0.35">
      <c r="A4" s="14" t="s">
        <v>77</v>
      </c>
      <c r="B4" s="85" t="s">
        <v>199</v>
      </c>
      <c r="C4" s="86"/>
      <c r="D4" s="86"/>
      <c r="E4" s="86"/>
      <c r="F4" s="87"/>
      <c r="G4" s="88"/>
      <c r="I4" s="12" t="s">
        <v>167</v>
      </c>
      <c r="J4" s="137">
        <v>44664</v>
      </c>
    </row>
    <row r="5" spans="1:11" ht="15" x14ac:dyDescent="0.35">
      <c r="A5" s="12"/>
      <c r="B5" s="12" t="s">
        <v>0</v>
      </c>
      <c r="C5" s="12"/>
      <c r="D5" s="12"/>
      <c r="E5" s="2">
        <f ca="1">TODAY()</f>
        <v>44664</v>
      </c>
      <c r="F5" s="12"/>
      <c r="G5" s="12"/>
    </row>
    <row r="6" spans="1:11" ht="15.45" x14ac:dyDescent="0.4">
      <c r="A6" s="1" t="s">
        <v>113</v>
      </c>
      <c r="B6" s="38"/>
      <c r="C6" s="38"/>
      <c r="D6" s="3" t="s">
        <v>144</v>
      </c>
      <c r="E6" s="4"/>
      <c r="F6" s="19"/>
      <c r="G6" s="19"/>
    </row>
    <row r="7" spans="1:11" ht="15.45" x14ac:dyDescent="0.4">
      <c r="A7" s="12" t="s">
        <v>1</v>
      </c>
      <c r="B7" s="12"/>
      <c r="C7" s="12"/>
      <c r="D7" s="3" t="s">
        <v>150</v>
      </c>
      <c r="E7" s="89"/>
      <c r="F7" s="19"/>
      <c r="G7" s="19"/>
      <c r="J7" s="108" t="s">
        <v>151</v>
      </c>
      <c r="K7" s="110" t="s">
        <v>124</v>
      </c>
    </row>
    <row r="8" spans="1:11" ht="15.45" x14ac:dyDescent="0.4">
      <c r="A8" s="12" t="s">
        <v>2</v>
      </c>
      <c r="B8" s="12"/>
      <c r="C8" s="12"/>
      <c r="D8" s="19"/>
      <c r="E8" s="91">
        <v>44835</v>
      </c>
      <c r="F8" s="19"/>
      <c r="G8" s="19"/>
      <c r="J8" s="124" t="s">
        <v>125</v>
      </c>
      <c r="K8" s="123" t="s">
        <v>126</v>
      </c>
    </row>
    <row r="9" spans="1:11" ht="15.45" x14ac:dyDescent="0.4">
      <c r="A9" s="12" t="s">
        <v>143</v>
      </c>
      <c r="B9" s="14" t="s">
        <v>3</v>
      </c>
      <c r="C9" s="14"/>
      <c r="D9" s="19"/>
      <c r="E9" s="90">
        <v>50</v>
      </c>
      <c r="F9" s="19" t="s">
        <v>112</v>
      </c>
      <c r="G9" s="19"/>
      <c r="J9" s="124" t="s">
        <v>127</v>
      </c>
      <c r="K9" s="123" t="s">
        <v>128</v>
      </c>
    </row>
    <row r="10" spans="1:11" ht="15.45" x14ac:dyDescent="0.4">
      <c r="A10" s="12" t="s">
        <v>114</v>
      </c>
      <c r="B10" s="14" t="s">
        <v>4</v>
      </c>
      <c r="C10" s="14"/>
      <c r="D10" s="19"/>
      <c r="E10" s="47">
        <v>950</v>
      </c>
      <c r="F10" s="157">
        <v>2</v>
      </c>
      <c r="G10" s="19"/>
      <c r="J10" s="124" t="s">
        <v>129</v>
      </c>
      <c r="K10" s="123" t="s">
        <v>130</v>
      </c>
    </row>
    <row r="11" spans="1:11" ht="15" x14ac:dyDescent="0.35">
      <c r="A11" s="12" t="s">
        <v>115</v>
      </c>
      <c r="B11" s="14" t="s">
        <v>5</v>
      </c>
      <c r="C11" s="14"/>
      <c r="D11" s="19"/>
      <c r="E11" s="48">
        <v>3</v>
      </c>
      <c r="F11" s="19"/>
      <c r="G11" s="19"/>
    </row>
    <row r="12" spans="1:11" ht="15" x14ac:dyDescent="0.35">
      <c r="A12" s="19" t="s">
        <v>166</v>
      </c>
      <c r="B12" s="12"/>
      <c r="C12" s="12"/>
      <c r="D12" s="19"/>
      <c r="E12" s="5">
        <f>((1-E11*0.01)*E10)</f>
        <v>921.5</v>
      </c>
      <c r="F12" s="19"/>
      <c r="G12" s="24"/>
      <c r="H12" s="6"/>
      <c r="I12" s="7"/>
    </row>
    <row r="13" spans="1:11" ht="15" x14ac:dyDescent="0.35">
      <c r="A13" s="12" t="s">
        <v>7</v>
      </c>
      <c r="B13" s="14" t="s">
        <v>8</v>
      </c>
      <c r="C13" s="14"/>
      <c r="D13" s="19"/>
      <c r="E13" s="49">
        <v>73</v>
      </c>
      <c r="F13" s="19"/>
      <c r="G13" s="19"/>
    </row>
    <row r="14" spans="1:11" ht="15" x14ac:dyDescent="0.35">
      <c r="A14" s="12" t="s">
        <v>9</v>
      </c>
      <c r="B14" s="14" t="s">
        <v>10</v>
      </c>
      <c r="C14" s="14"/>
      <c r="D14" s="155">
        <v>3</v>
      </c>
      <c r="E14" s="61">
        <f>((E12*E13*0.01)*D14*0.01)</f>
        <v>20.18085</v>
      </c>
      <c r="F14" s="19"/>
      <c r="G14" s="19"/>
    </row>
    <row r="15" spans="1:11" ht="15" x14ac:dyDescent="0.35">
      <c r="A15" s="12" t="s">
        <v>149</v>
      </c>
      <c r="B15" s="14" t="s">
        <v>12</v>
      </c>
      <c r="C15" s="14"/>
      <c r="D15" s="76"/>
      <c r="E15" s="49">
        <v>7</v>
      </c>
      <c r="F15" s="19"/>
      <c r="G15" s="19"/>
    </row>
    <row r="16" spans="1:11" ht="15" x14ac:dyDescent="0.35">
      <c r="A16" s="12" t="s">
        <v>11</v>
      </c>
      <c r="B16" s="14" t="s">
        <v>12</v>
      </c>
      <c r="C16" s="14"/>
      <c r="D16" s="19"/>
      <c r="E16" s="49">
        <v>1</v>
      </c>
      <c r="F16" s="19"/>
      <c r="G16" s="19"/>
    </row>
    <row r="17" spans="1:12" ht="15.45" x14ac:dyDescent="0.4">
      <c r="A17" s="1" t="s">
        <v>165</v>
      </c>
      <c r="C17" s="14"/>
      <c r="D17" s="19"/>
      <c r="E17" s="127">
        <f>E14+E15+E16</f>
        <v>28.18085</v>
      </c>
      <c r="F17" s="19"/>
      <c r="G17" s="19"/>
    </row>
    <row r="18" spans="1:12" ht="15.45" x14ac:dyDescent="0.4">
      <c r="A18" s="1"/>
      <c r="B18" s="9"/>
      <c r="C18" s="9" t="s">
        <v>8</v>
      </c>
      <c r="D18" s="9" t="s">
        <v>12</v>
      </c>
      <c r="E18" s="127" t="s">
        <v>179</v>
      </c>
      <c r="F18" s="19"/>
      <c r="G18" s="19"/>
    </row>
    <row r="19" spans="1:12" ht="15.45" x14ac:dyDescent="0.4">
      <c r="A19" s="1" t="s">
        <v>177</v>
      </c>
      <c r="B19" s="9"/>
      <c r="C19" s="77">
        <f>(D19/E12)*100</f>
        <v>69.941850244167128</v>
      </c>
      <c r="D19" s="16">
        <f>((E12*E13*0.01)-E14-E15-E16)</f>
        <v>644.51415000000009</v>
      </c>
      <c r="E19" s="138">
        <f>C19*E12*E9*0.01</f>
        <v>32225.707500000004</v>
      </c>
      <c r="F19" s="180" t="s">
        <v>175</v>
      </c>
      <c r="G19" s="181"/>
    </row>
    <row r="20" spans="1:12" ht="15.45" x14ac:dyDescent="0.4">
      <c r="A20" s="12"/>
      <c r="B20" s="9"/>
      <c r="C20" s="9"/>
      <c r="D20" s="1"/>
      <c r="F20" s="180" t="s">
        <v>176</v>
      </c>
      <c r="G20" s="181"/>
    </row>
    <row r="21" spans="1:12" ht="15.45" x14ac:dyDescent="0.4">
      <c r="A21" s="1" t="s">
        <v>178</v>
      </c>
      <c r="B21" s="9" t="s">
        <v>80</v>
      </c>
      <c r="C21" s="9"/>
      <c r="D21" s="77"/>
      <c r="E21" s="10">
        <f>(D19*E9)</f>
        <v>32225.707500000004</v>
      </c>
      <c r="F21" s="143">
        <f>(E21/(E9*E10*0.01))</f>
        <v>67.843594736842107</v>
      </c>
      <c r="G21" s="24"/>
      <c r="I21" s="147"/>
    </row>
    <row r="22" spans="1:12" ht="15" x14ac:dyDescent="0.35">
      <c r="A22" s="11" t="s">
        <v>15</v>
      </c>
      <c r="B22" s="11"/>
      <c r="C22" s="11"/>
      <c r="D22" s="50"/>
      <c r="E22" s="50"/>
      <c r="F22" s="50"/>
      <c r="G22" s="50"/>
    </row>
    <row r="23" spans="1:12" ht="15" x14ac:dyDescent="0.35">
      <c r="A23" s="12" t="s">
        <v>16</v>
      </c>
      <c r="B23" s="177" t="s">
        <v>183</v>
      </c>
      <c r="C23" s="178"/>
      <c r="D23" s="178"/>
      <c r="E23" s="178"/>
      <c r="F23" s="178"/>
      <c r="G23" s="179"/>
    </row>
    <row r="24" spans="1:12" ht="15" x14ac:dyDescent="0.35">
      <c r="A24" s="12" t="s">
        <v>2</v>
      </c>
      <c r="B24" s="14" t="s">
        <v>51</v>
      </c>
      <c r="C24" s="12" t="s">
        <v>53</v>
      </c>
      <c r="D24" s="19" t="s">
        <v>52</v>
      </c>
      <c r="E24" s="63">
        <f>E8+E25</f>
        <v>44990.555555555555</v>
      </c>
      <c r="F24" s="19"/>
      <c r="G24" s="19"/>
    </row>
    <row r="25" spans="1:12" ht="15" x14ac:dyDescent="0.35">
      <c r="A25" s="12" t="s">
        <v>17</v>
      </c>
      <c r="B25" s="118">
        <v>1300</v>
      </c>
      <c r="C25" s="103">
        <f>IF(B25=0,0,((B25-E10)/E26))</f>
        <v>155.55555555555554</v>
      </c>
      <c r="D25" s="47">
        <v>0</v>
      </c>
      <c r="E25" s="5">
        <f>IF(D25=0,C25,D25)</f>
        <v>155.55555555555554</v>
      </c>
      <c r="F25" s="19"/>
      <c r="G25" s="19"/>
    </row>
    <row r="26" spans="1:12" ht="17.600000000000001" x14ac:dyDescent="0.4">
      <c r="A26" s="12" t="s">
        <v>18</v>
      </c>
      <c r="B26" s="14" t="s">
        <v>19</v>
      </c>
      <c r="C26" s="14"/>
      <c r="D26" s="19"/>
      <c r="E26" s="48">
        <v>2.25</v>
      </c>
      <c r="F26" s="19" t="s">
        <v>20</v>
      </c>
      <c r="G26" s="19"/>
      <c r="K26" s="164">
        <f>B25*E37</f>
        <v>64675</v>
      </c>
      <c r="L26" s="12" t="s">
        <v>200</v>
      </c>
    </row>
    <row r="27" spans="1:12" ht="15" x14ac:dyDescent="0.35">
      <c r="A27" s="12" t="s">
        <v>72</v>
      </c>
      <c r="B27" s="14" t="s">
        <v>4</v>
      </c>
      <c r="C27" s="14"/>
      <c r="D27" s="19"/>
      <c r="E27" s="120">
        <f>(E25*E26+E10)</f>
        <v>1300</v>
      </c>
      <c r="F27" s="51">
        <f>((E27*E37)-(E9*E10))</f>
        <v>17175</v>
      </c>
      <c r="G27" s="94">
        <f>IF(F27&lt;=0,"Undefined",(F27/(E25*E37)))</f>
        <v>2.219310839913855</v>
      </c>
    </row>
    <row r="28" spans="1:12" ht="15" x14ac:dyDescent="0.35">
      <c r="A28" s="12" t="s">
        <v>73</v>
      </c>
      <c r="B28" s="14" t="s">
        <v>5</v>
      </c>
      <c r="C28" s="14"/>
      <c r="D28" s="19"/>
      <c r="E28" s="13">
        <v>3</v>
      </c>
      <c r="F28" s="25" t="s">
        <v>50</v>
      </c>
      <c r="G28" s="52">
        <f>(F27/E37)</f>
        <v>345.22613065326635</v>
      </c>
    </row>
    <row r="29" spans="1:12" ht="15" x14ac:dyDescent="0.35">
      <c r="A29" s="12" t="s">
        <v>6</v>
      </c>
      <c r="B29" s="14" t="s">
        <v>21</v>
      </c>
      <c r="C29" s="14"/>
      <c r="D29" s="165"/>
      <c r="E29" s="121">
        <f>((1-E28*0.01)*E27)</f>
        <v>1261</v>
      </c>
      <c r="F29" s="19"/>
      <c r="G29" s="19"/>
    </row>
    <row r="30" spans="1:12" ht="15" x14ac:dyDescent="0.35">
      <c r="A30" s="12" t="s">
        <v>22</v>
      </c>
      <c r="B30" s="74" t="s">
        <v>23</v>
      </c>
      <c r="C30" s="14"/>
      <c r="D30" s="19"/>
      <c r="E30" s="53">
        <f>(E29-E10)</f>
        <v>311</v>
      </c>
      <c r="F30" s="54"/>
      <c r="G30" s="19"/>
      <c r="I30" s="7"/>
      <c r="K30" t="s">
        <v>28</v>
      </c>
    </row>
    <row r="31" spans="1:12" ht="15.45" x14ac:dyDescent="0.4">
      <c r="A31" s="12" t="s">
        <v>136</v>
      </c>
      <c r="B31" s="25" t="s">
        <v>156</v>
      </c>
      <c r="C31" s="14"/>
      <c r="D31" s="49">
        <v>90</v>
      </c>
      <c r="E31" s="8">
        <f>D31*E29*0.01</f>
        <v>1134.9000000000001</v>
      </c>
      <c r="F31" s="19"/>
      <c r="G31" s="19"/>
      <c r="I31" s="7"/>
      <c r="K31" t="s">
        <v>29</v>
      </c>
    </row>
    <row r="32" spans="1:12" ht="15" x14ac:dyDescent="0.35">
      <c r="A32" s="12" t="s">
        <v>9</v>
      </c>
      <c r="B32" s="14" t="s">
        <v>10</v>
      </c>
      <c r="C32" s="14"/>
      <c r="D32" s="76">
        <v>3</v>
      </c>
      <c r="E32" s="78">
        <f>((E29*D31*0.01)*D32*0.01)</f>
        <v>34.047000000000004</v>
      </c>
      <c r="F32" s="19"/>
      <c r="G32" s="19"/>
      <c r="I32" s="7"/>
      <c r="K32" s="57">
        <f>($D$58*($E$25/365))</f>
        <v>2.1308980213089801</v>
      </c>
      <c r="L32" t="s">
        <v>5</v>
      </c>
    </row>
    <row r="33" spans="1:12" ht="15" x14ac:dyDescent="0.35">
      <c r="A33" s="12" t="s">
        <v>147</v>
      </c>
      <c r="B33" s="122" t="s">
        <v>148</v>
      </c>
      <c r="C33" s="14"/>
      <c r="E33" s="49">
        <v>7</v>
      </c>
      <c r="F33" s="19"/>
      <c r="G33" s="19"/>
      <c r="I33" s="7"/>
      <c r="K33" s="33" t="s">
        <v>192</v>
      </c>
    </row>
    <row r="34" spans="1:12" ht="15" x14ac:dyDescent="0.35">
      <c r="A34" s="12" t="s">
        <v>11</v>
      </c>
      <c r="B34" s="14" t="s">
        <v>12</v>
      </c>
      <c r="C34" s="14"/>
      <c r="D34" s="19"/>
      <c r="E34" s="49">
        <v>1</v>
      </c>
      <c r="F34" s="25" t="s">
        <v>24</v>
      </c>
      <c r="G34" s="19"/>
      <c r="K34" s="146">
        <f>((SUM($E$45:$E$52)*0.5*(($E$25/365)*$D$58*0.01)))</f>
        <v>221.35295112464061</v>
      </c>
      <c r="L34" t="s">
        <v>117</v>
      </c>
    </row>
    <row r="35" spans="1:12" ht="15.45" x14ac:dyDescent="0.4">
      <c r="A35" s="1" t="s">
        <v>155</v>
      </c>
      <c r="B35" s="9" t="s">
        <v>12</v>
      </c>
      <c r="C35" s="14"/>
      <c r="D35" s="19"/>
      <c r="E35" s="127">
        <f>E32+E33+E34</f>
        <v>42.047000000000004</v>
      </c>
      <c r="F35" s="25"/>
      <c r="G35" s="19"/>
      <c r="K35" s="147"/>
    </row>
    <row r="36" spans="1:12" ht="15.45" x14ac:dyDescent="0.4">
      <c r="A36" s="12"/>
      <c r="B36" s="14"/>
      <c r="C36" s="14"/>
      <c r="D36" s="12" t="s">
        <v>191</v>
      </c>
      <c r="E36" s="9" t="s">
        <v>3</v>
      </c>
      <c r="F36" s="12" t="s">
        <v>190</v>
      </c>
      <c r="G36" s="25" t="s">
        <v>79</v>
      </c>
      <c r="K36" s="146">
        <f>($F$21*$E$9*$E$10*0.01)*(($E$25/365)*$D$58*0.01)</f>
        <v>686.69696347031959</v>
      </c>
      <c r="L36" t="s">
        <v>35</v>
      </c>
    </row>
    <row r="37" spans="1:12" ht="15.45" x14ac:dyDescent="0.4">
      <c r="A37" s="12" t="s">
        <v>25</v>
      </c>
      <c r="B37" s="14" t="s">
        <v>146</v>
      </c>
      <c r="C37" s="14"/>
      <c r="D37" s="158">
        <v>0.5</v>
      </c>
      <c r="E37" s="53">
        <f>(1-D37*0.01)*E9</f>
        <v>49.75</v>
      </c>
      <c r="F37" s="60">
        <f>((E29*E37)-(E10*E9))</f>
        <v>15234.75</v>
      </c>
      <c r="G37" s="142">
        <f>IF(E25&lt;=0,"Undefined",(F37/(E9*E25)))</f>
        <v>1.9587535714285715</v>
      </c>
      <c r="K37" s="147"/>
    </row>
    <row r="38" spans="1:12" ht="15" x14ac:dyDescent="0.35">
      <c r="A38" s="12" t="s">
        <v>13</v>
      </c>
      <c r="B38" s="14" t="s">
        <v>12</v>
      </c>
      <c r="C38" s="14"/>
      <c r="D38" s="19"/>
      <c r="E38" s="24">
        <f>((E29*D31*0.01)-E34-E33-E32)</f>
        <v>1092.8530000000001</v>
      </c>
      <c r="F38" s="19"/>
      <c r="G38" s="19"/>
      <c r="K38" s="148">
        <f>(K34+K36)</f>
        <v>908.04991459496023</v>
      </c>
      <c r="L38" s="71" t="s">
        <v>30</v>
      </c>
    </row>
    <row r="39" spans="1:12" ht="15.45" x14ac:dyDescent="0.4">
      <c r="A39" s="12" t="s">
        <v>14</v>
      </c>
      <c r="B39" s="14" t="s">
        <v>8</v>
      </c>
      <c r="C39" s="14"/>
      <c r="D39" s="19"/>
      <c r="E39" s="16">
        <f>(E38/E29)*100</f>
        <v>86.665582870737509</v>
      </c>
      <c r="F39" s="19"/>
      <c r="G39" s="19"/>
      <c r="I39" s="17"/>
    </row>
    <row r="40" spans="1:12" ht="15.45" x14ac:dyDescent="0.4">
      <c r="A40" s="1" t="s">
        <v>26</v>
      </c>
      <c r="B40" s="9" t="s">
        <v>80</v>
      </c>
      <c r="C40" s="9"/>
      <c r="D40" s="19"/>
      <c r="E40" s="10">
        <f>(E38*E37)</f>
        <v>54369.436750000001</v>
      </c>
      <c r="F40" s="1" t="s">
        <v>50</v>
      </c>
      <c r="G40" s="136">
        <f>(F37/E9)</f>
        <v>304.69499999999999</v>
      </c>
      <c r="I40" s="9"/>
    </row>
    <row r="41" spans="1:12" ht="15.45" x14ac:dyDescent="0.4">
      <c r="A41" s="12"/>
      <c r="B41" s="12"/>
      <c r="C41" s="12"/>
      <c r="D41" s="19"/>
      <c r="E41" s="9"/>
    </row>
    <row r="42" spans="1:12" ht="17.600000000000001" x14ac:dyDescent="0.4">
      <c r="A42" s="1" t="s">
        <v>27</v>
      </c>
      <c r="B42" s="12"/>
      <c r="C42" s="12"/>
      <c r="D42" s="9"/>
      <c r="E42" s="159">
        <f>(E40-E21)</f>
        <v>22143.729249999997</v>
      </c>
      <c r="F42" s="24">
        <f>E42/E37</f>
        <v>445.10008542713564</v>
      </c>
      <c r="I42" s="10"/>
    </row>
    <row r="43" spans="1:12" ht="15.45" x14ac:dyDescent="0.4">
      <c r="A43" s="1" t="s">
        <v>170</v>
      </c>
      <c r="B43" s="14"/>
      <c r="C43" s="12"/>
      <c r="F43" s="19"/>
    </row>
    <row r="44" spans="1:12" ht="15" x14ac:dyDescent="0.35">
      <c r="A44" s="12" t="s">
        <v>70</v>
      </c>
      <c r="B44" s="14"/>
      <c r="C44" s="14" t="s">
        <v>49</v>
      </c>
      <c r="D44" s="56" t="s">
        <v>32</v>
      </c>
      <c r="E44" s="19"/>
      <c r="F44" s="55"/>
      <c r="I44" s="55"/>
    </row>
    <row r="45" spans="1:12" ht="15" x14ac:dyDescent="0.35">
      <c r="A45" s="20" t="s">
        <v>54</v>
      </c>
      <c r="B45" s="21" t="s">
        <v>33</v>
      </c>
      <c r="C45" s="82">
        <f>G40</f>
        <v>304.69499999999999</v>
      </c>
      <c r="D45" s="81">
        <v>0</v>
      </c>
      <c r="E45" s="55">
        <f>C45*D45*$E$9</f>
        <v>0</v>
      </c>
      <c r="F45" s="55"/>
      <c r="I45" s="55"/>
    </row>
    <row r="46" spans="1:12" ht="15" x14ac:dyDescent="0.35">
      <c r="A46" s="174" t="s">
        <v>209</v>
      </c>
      <c r="B46" s="21" t="s">
        <v>34</v>
      </c>
      <c r="C46" s="82">
        <f>E25</f>
        <v>155.55555555555554</v>
      </c>
      <c r="D46" s="81">
        <v>2</v>
      </c>
      <c r="E46" s="55">
        <f>C46*D46*$E$9</f>
        <v>15555.555555555555</v>
      </c>
      <c r="F46" s="55"/>
      <c r="I46" s="55"/>
    </row>
    <row r="47" spans="1:12" ht="15" x14ac:dyDescent="0.35">
      <c r="A47" s="22" t="s">
        <v>68</v>
      </c>
      <c r="B47" s="39" t="s">
        <v>31</v>
      </c>
      <c r="C47" s="83">
        <v>1</v>
      </c>
      <c r="D47" s="81">
        <v>10</v>
      </c>
      <c r="E47" s="55">
        <f>(C47*D47*$E$9)</f>
        <v>500</v>
      </c>
      <c r="F47" s="55"/>
      <c r="I47" s="55"/>
    </row>
    <row r="48" spans="1:12" ht="15" x14ac:dyDescent="0.35">
      <c r="A48" s="22" t="s">
        <v>116</v>
      </c>
      <c r="B48" s="92" t="s">
        <v>210</v>
      </c>
      <c r="C48" s="83">
        <v>111</v>
      </c>
      <c r="D48" s="81">
        <v>0.4</v>
      </c>
      <c r="E48" s="55">
        <f>(C48*D48*$E$9)</f>
        <v>2220.0000000000005</v>
      </c>
      <c r="F48" s="55"/>
      <c r="I48" s="55"/>
    </row>
    <row r="49" spans="1:12" ht="15" x14ac:dyDescent="0.35">
      <c r="A49" s="22" t="s">
        <v>169</v>
      </c>
      <c r="B49" s="92" t="s">
        <v>31</v>
      </c>
      <c r="C49" s="83">
        <v>1</v>
      </c>
      <c r="D49" s="81">
        <v>0</v>
      </c>
      <c r="E49" s="55">
        <f>(C49*D49*$E$9)</f>
        <v>0</v>
      </c>
      <c r="F49" s="55"/>
      <c r="I49" s="55"/>
      <c r="K49" s="58"/>
    </row>
    <row r="50" spans="1:12" ht="15.45" x14ac:dyDescent="0.4">
      <c r="A50" s="125" t="s">
        <v>152</v>
      </c>
      <c r="B50" s="92"/>
      <c r="C50" s="25" t="s">
        <v>3</v>
      </c>
      <c r="D50" s="9" t="s">
        <v>172</v>
      </c>
      <c r="E50" s="55"/>
      <c r="F50" s="55"/>
      <c r="I50" s="55"/>
      <c r="K50" s="58"/>
    </row>
    <row r="51" spans="1:12" ht="15" x14ac:dyDescent="0.35">
      <c r="A51" s="23" t="s">
        <v>153</v>
      </c>
      <c r="B51" s="93" t="s">
        <v>31</v>
      </c>
      <c r="C51" s="126">
        <f>E9</f>
        <v>50</v>
      </c>
      <c r="D51" s="81">
        <v>10</v>
      </c>
      <c r="E51" s="55">
        <f>(C51*D51)</f>
        <v>500</v>
      </c>
      <c r="F51" s="55"/>
      <c r="I51" s="55"/>
      <c r="K51" s="58"/>
    </row>
    <row r="52" spans="1:12" ht="15" x14ac:dyDescent="0.35">
      <c r="A52" s="23" t="s">
        <v>154</v>
      </c>
      <c r="B52" s="93" t="s">
        <v>31</v>
      </c>
      <c r="C52" s="126">
        <f>C51</f>
        <v>50</v>
      </c>
      <c r="D52" s="81">
        <v>40</v>
      </c>
      <c r="E52" s="55">
        <f>(C52*D52)</f>
        <v>2000</v>
      </c>
      <c r="F52" s="55"/>
      <c r="I52" s="55"/>
      <c r="K52" s="58"/>
    </row>
    <row r="53" spans="1:12" ht="15.45" x14ac:dyDescent="0.4">
      <c r="A53" s="128" t="s">
        <v>152</v>
      </c>
      <c r="B53" s="129"/>
      <c r="C53" s="130"/>
      <c r="D53" s="131">
        <f>E53/E9</f>
        <v>50</v>
      </c>
      <c r="E53" s="132">
        <f>E51+E52</f>
        <v>2500</v>
      </c>
      <c r="F53" s="151" t="s">
        <v>182</v>
      </c>
      <c r="I53" s="55"/>
      <c r="K53" s="58"/>
    </row>
    <row r="54" spans="1:12" ht="15.45" x14ac:dyDescent="0.4">
      <c r="A54" s="128" t="s">
        <v>201</v>
      </c>
      <c r="B54" s="166" t="s">
        <v>180</v>
      </c>
      <c r="C54" s="130"/>
      <c r="D54" s="131">
        <f>E54/E37</f>
        <v>1115.6032774986043</v>
      </c>
      <c r="E54" s="132">
        <f>SUM(E45:E53)+E21</f>
        <v>55501.263055555559</v>
      </c>
      <c r="F54" s="151"/>
      <c r="I54" s="55"/>
      <c r="K54" s="58"/>
    </row>
    <row r="55" spans="1:12" ht="15.45" x14ac:dyDescent="0.4">
      <c r="A55" s="1" t="s">
        <v>69</v>
      </c>
      <c r="B55" s="40" t="s">
        <v>31</v>
      </c>
      <c r="C55" s="84">
        <v>1</v>
      </c>
      <c r="D55" s="156">
        <v>30</v>
      </c>
      <c r="E55" s="55">
        <f>(C55*D55*$E$9)</f>
        <v>1500</v>
      </c>
      <c r="F55" s="150">
        <f>F74</f>
        <v>8.2594578551834441E-2</v>
      </c>
      <c r="I55" s="55"/>
    </row>
    <row r="56" spans="1:12" ht="15.45" x14ac:dyDescent="0.4">
      <c r="B56" s="19"/>
      <c r="C56" s="19" t="s">
        <v>163</v>
      </c>
      <c r="D56" s="25" t="s">
        <v>90</v>
      </c>
      <c r="F56" s="135" t="s">
        <v>157</v>
      </c>
      <c r="I56" s="10"/>
    </row>
    <row r="57" spans="1:12" ht="15.45" x14ac:dyDescent="0.4">
      <c r="A57" s="19" t="s">
        <v>158</v>
      </c>
      <c r="B57" s="19"/>
      <c r="C57" s="134" t="s">
        <v>162</v>
      </c>
      <c r="D57" s="25" t="s">
        <v>164</v>
      </c>
      <c r="F57" s="71" t="s">
        <v>159</v>
      </c>
      <c r="I57" s="10"/>
    </row>
    <row r="58" spans="1:12" ht="15" x14ac:dyDescent="0.35">
      <c r="A58" s="19" t="s">
        <v>160</v>
      </c>
      <c r="B58" s="25"/>
      <c r="C58" s="15">
        <v>30</v>
      </c>
      <c r="D58" s="79">
        <v>5</v>
      </c>
      <c r="F58" s="133">
        <f>K74</f>
        <v>18160.998291899206</v>
      </c>
      <c r="I58" s="55"/>
    </row>
    <row r="59" spans="1:12" ht="15.45" x14ac:dyDescent="0.4">
      <c r="A59" s="139" t="s">
        <v>161</v>
      </c>
      <c r="B59" s="140"/>
      <c r="C59" s="141"/>
      <c r="D59" s="77">
        <f>(E59/E9)</f>
        <v>5.448299487569761</v>
      </c>
      <c r="E59" s="77">
        <f>L60</f>
        <v>272.41497437848807</v>
      </c>
      <c r="F59" s="55"/>
      <c r="I59" s="80"/>
      <c r="K59" t="s">
        <v>162</v>
      </c>
      <c r="L59" t="s">
        <v>90</v>
      </c>
    </row>
    <row r="60" spans="1:12" ht="17.600000000000001" x14ac:dyDescent="0.4">
      <c r="A60" s="1" t="s">
        <v>168</v>
      </c>
      <c r="B60" s="12"/>
      <c r="C60" s="12"/>
      <c r="D60" s="16">
        <f>E60/E9</f>
        <v>450.95941059868085</v>
      </c>
      <c r="E60" s="159">
        <f>SUM(E44:E52)+E55+E59</f>
        <v>22547.970529934042</v>
      </c>
      <c r="F60" s="10" t="s">
        <v>203</v>
      </c>
      <c r="K60" s="69">
        <f>IF($E$25=0,0,(((SUM($E$45:$E$52)*0.5+$E$21)*($E$25/365))))*C58*0.01</f>
        <v>5448.2994875697614</v>
      </c>
      <c r="L60" s="34">
        <f>K60*D58*0.01</f>
        <v>272.41497437848807</v>
      </c>
    </row>
    <row r="61" spans="1:12" ht="15.45" x14ac:dyDescent="0.4">
      <c r="A61" s="19" t="s">
        <v>171</v>
      </c>
      <c r="B61" s="40" t="s">
        <v>31</v>
      </c>
      <c r="C61" s="12"/>
      <c r="D61" s="16"/>
      <c r="E61" s="24">
        <f>(E60/$E$37)</f>
        <v>453.22553829013151</v>
      </c>
      <c r="F61" s="167" t="s">
        <v>97</v>
      </c>
    </row>
    <row r="62" spans="1:12" ht="15.45" x14ac:dyDescent="0.4">
      <c r="A62" s="1" t="s">
        <v>202</v>
      </c>
      <c r="B62" s="9" t="s">
        <v>8</v>
      </c>
      <c r="C62" s="1"/>
      <c r="D62" s="16"/>
      <c r="E62" s="16">
        <f>IF($F37&lt;=0,"Undefined",($E60/($F37*0.01)))</f>
        <v>148.00354800659048</v>
      </c>
      <c r="F62" s="16">
        <f>IF($F37&lt;=0,"Undefined",($E60-E55)/($F37*0.01))</f>
        <v>138.15763652133472</v>
      </c>
    </row>
    <row r="63" spans="1:12" ht="15.45" x14ac:dyDescent="0.4">
      <c r="A63" s="1" t="s">
        <v>205</v>
      </c>
      <c r="B63" s="168" t="s">
        <v>8</v>
      </c>
      <c r="C63" s="12"/>
      <c r="D63" s="9"/>
      <c r="E63" s="169">
        <f>B87*100</f>
        <v>14535.01320993124</v>
      </c>
      <c r="I63" s="55"/>
      <c r="K63" s="71" t="s">
        <v>67</v>
      </c>
    </row>
    <row r="64" spans="1:12" ht="17.600000000000001" x14ac:dyDescent="0.4">
      <c r="A64" s="1"/>
      <c r="B64" s="12"/>
      <c r="C64" s="12"/>
      <c r="D64" s="25" t="s">
        <v>172</v>
      </c>
      <c r="E64" s="9" t="s">
        <v>193</v>
      </c>
      <c r="F64" s="163" t="s">
        <v>180</v>
      </c>
      <c r="I64" s="1"/>
    </row>
    <row r="65" spans="1:12" ht="15.45" x14ac:dyDescent="0.4">
      <c r="A65" s="1" t="s">
        <v>188</v>
      </c>
      <c r="B65" s="12"/>
      <c r="C65" s="12"/>
      <c r="D65" s="172">
        <f>E65/E9</f>
        <v>21.915174401319092</v>
      </c>
      <c r="E65" s="173">
        <f>(E42+E55-E60)</f>
        <v>1095.7587200659545</v>
      </c>
      <c r="F65" s="173">
        <f>E65/E37</f>
        <v>22.025300905848333</v>
      </c>
      <c r="I65" s="55"/>
      <c r="K65" s="66">
        <f>(K67/K76)</f>
        <v>1.2928877878400726</v>
      </c>
      <c r="L65" t="s">
        <v>66</v>
      </c>
    </row>
    <row r="66" spans="1:12" x14ac:dyDescent="0.3">
      <c r="K66" s="64">
        <f>(100-C58)</f>
        <v>70</v>
      </c>
      <c r="L66" t="s">
        <v>59</v>
      </c>
    </row>
    <row r="67" spans="1:12" ht="15.45" x14ac:dyDescent="0.4">
      <c r="A67" s="12" t="s">
        <v>62</v>
      </c>
      <c r="B67" s="19"/>
      <c r="C67" s="19"/>
      <c r="D67" s="25" t="s">
        <v>12</v>
      </c>
      <c r="E67" s="26">
        <f>B81</f>
        <v>154.88361422497093</v>
      </c>
      <c r="F67" s="26"/>
      <c r="I67" s="16"/>
      <c r="K67" s="66">
        <f>(K68/K69)*100</f>
        <v>20.418628333913972</v>
      </c>
      <c r="L67" t="s">
        <v>58</v>
      </c>
    </row>
    <row r="68" spans="1:12" ht="15.45" x14ac:dyDescent="0.4">
      <c r="A68" s="19" t="s">
        <v>63</v>
      </c>
      <c r="B68" s="19"/>
      <c r="C68" s="19"/>
      <c r="D68" s="25" t="s">
        <v>12</v>
      </c>
      <c r="E68" s="175">
        <f>B83</f>
        <v>-163.00906708796677</v>
      </c>
      <c r="F68" s="26"/>
      <c r="I68" s="16"/>
      <c r="K68" s="68">
        <f>E65+E55</f>
        <v>2595.7587200659545</v>
      </c>
      <c r="L68" t="s">
        <v>60</v>
      </c>
    </row>
    <row r="69" spans="1:12" ht="15.45" x14ac:dyDescent="0.4">
      <c r="A69" s="1" t="s">
        <v>139</v>
      </c>
      <c r="B69" s="1"/>
      <c r="C69" s="1"/>
      <c r="D69" s="9" t="s">
        <v>12</v>
      </c>
      <c r="E69" s="171">
        <f>E65/E37</f>
        <v>22.025300905848333</v>
      </c>
      <c r="F69" s="117"/>
      <c r="I69" s="16"/>
      <c r="K69" s="69">
        <f>IF(C58=100,((((SUM(E45:E52))*0.5+E21))*($E25/365)),((((SUM(E45:E52))*0.5+$E$21)*(100-C58)*0.01)*($E$25/365)))</f>
        <v>12712.698804329444</v>
      </c>
      <c r="L69" t="s">
        <v>57</v>
      </c>
    </row>
    <row r="70" spans="1:12" ht="15.45" x14ac:dyDescent="0.4">
      <c r="A70" s="1"/>
      <c r="B70" s="1"/>
      <c r="C70" s="1"/>
      <c r="D70" s="9"/>
      <c r="E70" s="117"/>
      <c r="F70" s="117"/>
      <c r="G70" s="16" t="s">
        <v>204</v>
      </c>
      <c r="K70" s="69"/>
    </row>
    <row r="71" spans="1:12" ht="15.45" x14ac:dyDescent="0.4">
      <c r="A71" s="27" t="s">
        <v>15</v>
      </c>
      <c r="B71" s="12"/>
      <c r="C71" s="12"/>
      <c r="D71" s="27" t="s">
        <v>15</v>
      </c>
      <c r="E71" s="27" t="s">
        <v>15</v>
      </c>
      <c r="F71" s="5"/>
      <c r="G71" s="27" t="s">
        <v>15</v>
      </c>
    </row>
    <row r="72" spans="1:12" ht="15.45" x14ac:dyDescent="0.4">
      <c r="A72" s="1" t="s">
        <v>36</v>
      </c>
      <c r="B72" s="12"/>
      <c r="C72" s="12"/>
      <c r="D72" s="9" t="s">
        <v>8</v>
      </c>
      <c r="E72" s="28">
        <f>((E55+E59+($F$21*$E$9*$E$10*0.01)+(SUM($E$45:$E$52)+$E$35*$E$37))/($E$29*$E$37*0.01))</f>
        <v>90.644365809912443</v>
      </c>
      <c r="F72" s="5"/>
      <c r="G72" s="16">
        <f>D31</f>
        <v>90</v>
      </c>
      <c r="K72" s="94">
        <f>(E75/E74)</f>
        <v>1.2928877878400726</v>
      </c>
      <c r="L72" s="67" t="s">
        <v>145</v>
      </c>
    </row>
    <row r="73" spans="1:12" ht="15.45" x14ac:dyDescent="0.4">
      <c r="A73" s="1"/>
      <c r="B73" s="12"/>
      <c r="C73" s="12"/>
      <c r="D73" s="1"/>
      <c r="E73" s="16"/>
      <c r="F73" s="29" t="s">
        <v>182</v>
      </c>
      <c r="G73" s="65"/>
      <c r="K73" s="68"/>
    </row>
    <row r="74" spans="1:12" ht="15.45" x14ac:dyDescent="0.4">
      <c r="A74" s="1" t="s">
        <v>137</v>
      </c>
      <c r="B74" s="12"/>
      <c r="C74" s="12"/>
      <c r="E74" s="65">
        <f>K76</f>
        <v>15.79303983373978</v>
      </c>
      <c r="F74" s="149">
        <f>IF(D55=0,"NA",(E55/K74))</f>
        <v>8.2594578551834441E-2</v>
      </c>
      <c r="G74" s="65"/>
      <c r="I74" s="57"/>
      <c r="K74" s="69">
        <f>IF($E$25=0,0,(((SUM($E$45:$E$52)*0.5+$E$21)*($E$25/365))))</f>
        <v>18160.998291899206</v>
      </c>
      <c r="L74" t="s">
        <v>61</v>
      </c>
    </row>
    <row r="75" spans="1:12" ht="15.45" x14ac:dyDescent="0.4">
      <c r="A75" s="1" t="s">
        <v>138</v>
      </c>
      <c r="B75" s="12"/>
      <c r="C75" s="12"/>
      <c r="E75" s="65">
        <f>K67</f>
        <v>20.418628333913972</v>
      </c>
      <c r="K75" s="70">
        <f>(E65+E59+E55)</f>
        <v>2868.1736944444428</v>
      </c>
      <c r="L75" t="s">
        <v>65</v>
      </c>
    </row>
    <row r="76" spans="1:12" ht="15" x14ac:dyDescent="0.35">
      <c r="A76" s="11" t="s">
        <v>15</v>
      </c>
      <c r="B76" s="11"/>
      <c r="C76" s="62"/>
      <c r="D76" s="11"/>
      <c r="E76" s="50"/>
      <c r="F76" s="50"/>
      <c r="G76" s="50"/>
      <c r="K76" s="66">
        <f>(K75/K74)*100</f>
        <v>15.79303983373978</v>
      </c>
      <c r="L76" t="s">
        <v>64</v>
      </c>
    </row>
    <row r="77" spans="1:12" ht="15" x14ac:dyDescent="0.35">
      <c r="A77" s="19"/>
      <c r="E77" s="18"/>
    </row>
    <row r="78" spans="1:12" ht="15" x14ac:dyDescent="0.35">
      <c r="A78" s="19"/>
      <c r="E78" s="18"/>
    </row>
    <row r="79" spans="1:12" ht="15" x14ac:dyDescent="0.35">
      <c r="A79" s="19" t="s">
        <v>37</v>
      </c>
      <c r="B79" s="19" t="s">
        <v>38</v>
      </c>
      <c r="E79" s="18"/>
    </row>
    <row r="81" spans="1:7" x14ac:dyDescent="0.3">
      <c r="A81" t="s">
        <v>173</v>
      </c>
      <c r="B81" s="30">
        <f>((E9*E12*0.01)*(E39-C19)/E37)</f>
        <v>154.88361422497093</v>
      </c>
    </row>
    <row r="82" spans="1:7" x14ac:dyDescent="0.3">
      <c r="B82" s="31"/>
      <c r="G82" s="32"/>
    </row>
    <row r="83" spans="1:7" x14ac:dyDescent="0.3">
      <c r="A83" t="s">
        <v>40</v>
      </c>
      <c r="B83" s="31">
        <f>((E39-B97)*B95*0.01)/E37</f>
        <v>-163.00906708796677</v>
      </c>
    </row>
    <row r="84" spans="1:7" x14ac:dyDescent="0.3">
      <c r="B84" s="31"/>
      <c r="G84" s="32"/>
    </row>
    <row r="85" spans="1:7" x14ac:dyDescent="0.3">
      <c r="A85" t="s">
        <v>41</v>
      </c>
      <c r="B85" s="31">
        <f>(B81+B83)</f>
        <v>-8.1254528629958429</v>
      </c>
      <c r="C85" s="33" t="s">
        <v>207</v>
      </c>
    </row>
    <row r="86" spans="1:7" ht="15" x14ac:dyDescent="0.35">
      <c r="B86" s="12" t="s">
        <v>206</v>
      </c>
    </row>
    <row r="87" spans="1:7" x14ac:dyDescent="0.3">
      <c r="A87" s="33" t="s">
        <v>205</v>
      </c>
      <c r="B87" s="170">
        <f>((E40-E19)/F37)*100</f>
        <v>145.35013209931239</v>
      </c>
    </row>
    <row r="89" spans="1:7" x14ac:dyDescent="0.3">
      <c r="B89" t="s">
        <v>42</v>
      </c>
    </row>
    <row r="91" spans="1:7" x14ac:dyDescent="0.3">
      <c r="A91" t="s">
        <v>174</v>
      </c>
      <c r="B91" s="7">
        <f>E9*E12</f>
        <v>46075</v>
      </c>
    </row>
    <row r="92" spans="1:7" x14ac:dyDescent="0.3">
      <c r="B92" s="7"/>
    </row>
    <row r="93" spans="1:7" x14ac:dyDescent="0.3">
      <c r="A93" t="s">
        <v>43</v>
      </c>
      <c r="B93" s="7">
        <f>E37*E29</f>
        <v>62734.75</v>
      </c>
    </row>
    <row r="94" spans="1:7" x14ac:dyDescent="0.3">
      <c r="B94" s="7"/>
    </row>
    <row r="95" spans="1:7" x14ac:dyDescent="0.3">
      <c r="A95" t="s">
        <v>44</v>
      </c>
      <c r="B95" s="7">
        <f>B93-B91</f>
        <v>16659.75</v>
      </c>
    </row>
    <row r="97" spans="1:2" x14ac:dyDescent="0.3">
      <c r="A97" t="s">
        <v>48</v>
      </c>
      <c r="B97" s="34">
        <f>(E60/B95)*100</f>
        <v>135.34399093584261</v>
      </c>
    </row>
  </sheetData>
  <sheetProtection sheet="1" objects="1" scenarios="1"/>
  <mergeCells count="4">
    <mergeCell ref="A1:G1"/>
    <mergeCell ref="B23:G23"/>
    <mergeCell ref="F19:G19"/>
    <mergeCell ref="F20:G20"/>
  </mergeCells>
  <phoneticPr fontId="0" type="noConversion"/>
  <printOptions horizontalCentered="1"/>
  <pageMargins left="0.75" right="0.75" top="0.75" bottom="0.75" header="0.5" footer="0.5"/>
  <pageSetup scale="57" orientation="portrait" horizontalDpi="4294967292" r:id="rId1"/>
  <headerFooter alignWithMargins="0">
    <oddFooter>&amp;L&amp;F&amp;R&amp;A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F58"/>
  <sheetViews>
    <sheetView topLeftCell="A48" workbookViewId="0">
      <selection activeCell="B61" sqref="B61"/>
    </sheetView>
  </sheetViews>
  <sheetFormatPr defaultRowHeight="12.45" x14ac:dyDescent="0.3"/>
  <cols>
    <col min="1" max="1" width="4.69140625" customWidth="1"/>
    <col min="2" max="2" width="50.23046875" customWidth="1"/>
    <col min="3" max="3" width="11.23046875" customWidth="1"/>
    <col min="4" max="4" width="14.4609375" customWidth="1"/>
    <col min="5" max="5" width="12.69140625" customWidth="1"/>
    <col min="6" max="6" width="12.4609375" customWidth="1"/>
  </cols>
  <sheetData>
    <row r="1" spans="2:6" ht="17.600000000000001" x14ac:dyDescent="0.4">
      <c r="B1" s="176" t="s">
        <v>71</v>
      </c>
      <c r="C1" s="176"/>
      <c r="D1" s="176"/>
      <c r="E1" s="176"/>
      <c r="F1" s="176"/>
    </row>
    <row r="2" spans="2:6" ht="15.45" x14ac:dyDescent="0.4">
      <c r="B2" s="35"/>
    </row>
    <row r="3" spans="2:6" ht="15.45" x14ac:dyDescent="0.4">
      <c r="B3" s="35"/>
    </row>
    <row r="4" spans="2:6" ht="15.45" x14ac:dyDescent="0.4">
      <c r="B4" s="1" t="str">
        <f>'Sell or Upgrade Cull Cows'!B4</f>
        <v>Sell cull cows or feed them to sell later at a higher grade</v>
      </c>
      <c r="D4" s="46"/>
    </row>
    <row r="5" spans="2:6" ht="15.45" x14ac:dyDescent="0.4">
      <c r="D5" s="160" t="s">
        <v>189</v>
      </c>
    </row>
    <row r="6" spans="2:6" ht="15" x14ac:dyDescent="0.35">
      <c r="B6" s="19" t="s">
        <v>39</v>
      </c>
      <c r="C6" s="31"/>
      <c r="D6" s="72">
        <f>'Sell or Upgrade Cull Cows'!B81</f>
        <v>154.88361422497093</v>
      </c>
    </row>
    <row r="7" spans="2:6" ht="15" x14ac:dyDescent="0.35">
      <c r="B7" s="19"/>
      <c r="D7" s="72"/>
    </row>
    <row r="8" spans="2:6" ht="15" x14ac:dyDescent="0.35">
      <c r="B8" s="19" t="s">
        <v>56</v>
      </c>
      <c r="D8" s="72">
        <f>'Sell or Upgrade Cull Cows'!B83</f>
        <v>-163.00906708796677</v>
      </c>
    </row>
    <row r="9" spans="2:6" x14ac:dyDescent="0.3">
      <c r="D9" s="36"/>
    </row>
    <row r="10" spans="2:6" ht="15.45" x14ac:dyDescent="0.4">
      <c r="B10" s="1" t="s">
        <v>185</v>
      </c>
      <c r="D10" s="37">
        <f>'Sell or Upgrade Cull Cows'!B85</f>
        <v>-8.1254528629958429</v>
      </c>
    </row>
    <row r="11" spans="2:6" ht="15.45" x14ac:dyDescent="0.4">
      <c r="B11" s="1"/>
      <c r="C11" s="9" t="s">
        <v>30</v>
      </c>
      <c r="D11" s="37"/>
      <c r="F11" s="29" t="s">
        <v>182</v>
      </c>
    </row>
    <row r="12" spans="2:6" ht="15.45" x14ac:dyDescent="0.4">
      <c r="B12" s="1" t="s">
        <v>187</v>
      </c>
      <c r="C12" s="138">
        <f>'Sell or Upgrade Cull Cows'!E55</f>
        <v>1500</v>
      </c>
      <c r="D12" s="37">
        <f>C12/'Sell or Upgrade Cull Cows'!$E$37</f>
        <v>30.150753768844222</v>
      </c>
      <c r="F12" s="149">
        <f>'Sell or Upgrade Cull Cows'!F74</f>
        <v>8.2594578551834441E-2</v>
      </c>
    </row>
    <row r="13" spans="2:6" ht="15.45" x14ac:dyDescent="0.4">
      <c r="B13" s="1" t="s">
        <v>186</v>
      </c>
      <c r="C13" s="138">
        <f>'Sell or Upgrade Cull Cows'!E65</f>
        <v>1095.7587200659545</v>
      </c>
      <c r="D13" s="37">
        <f>C13/'Sell or Upgrade Cull Cows'!$E$37</f>
        <v>22.025300905848333</v>
      </c>
    </row>
    <row r="14" spans="2:6" ht="15.45" x14ac:dyDescent="0.4">
      <c r="B14" s="1"/>
      <c r="C14" s="138"/>
      <c r="D14" s="37"/>
    </row>
    <row r="15" spans="2:6" ht="15.45" x14ac:dyDescent="0.4">
      <c r="B15" s="1"/>
      <c r="C15" s="12"/>
      <c r="D15" s="12"/>
      <c r="E15" s="1"/>
      <c r="F15" s="16"/>
    </row>
    <row r="16" spans="2:6" ht="15.45" x14ac:dyDescent="0.4">
      <c r="B16" s="1" t="s">
        <v>137</v>
      </c>
      <c r="C16" s="12"/>
      <c r="D16" s="12"/>
      <c r="F16" s="65">
        <f>'Sell or Upgrade Cull Cows'!E74</f>
        <v>15.79303983373978</v>
      </c>
    </row>
    <row r="17" spans="2:6" ht="15.45" x14ac:dyDescent="0.4">
      <c r="B17" s="1" t="s">
        <v>138</v>
      </c>
      <c r="C17" s="12"/>
      <c r="D17" s="12"/>
      <c r="F17" s="65">
        <f>'Sell or Upgrade Cull Cows'!E75</f>
        <v>20.418628333913972</v>
      </c>
    </row>
    <row r="19" spans="2:6" ht="15.45" x14ac:dyDescent="0.4">
      <c r="B19" s="108" t="s">
        <v>118</v>
      </c>
      <c r="D19" s="109"/>
      <c r="E19" s="109"/>
      <c r="F19" s="109"/>
    </row>
    <row r="20" spans="2:6" ht="15.45" x14ac:dyDescent="0.4">
      <c r="B20" s="109"/>
      <c r="C20" s="109"/>
      <c r="D20" s="110" t="s">
        <v>119</v>
      </c>
      <c r="E20" s="111"/>
      <c r="F20" s="110" t="s">
        <v>120</v>
      </c>
    </row>
    <row r="21" spans="2:6" ht="15.45" x14ac:dyDescent="0.4">
      <c r="B21" s="109"/>
      <c r="C21" s="109"/>
      <c r="D21" s="110" t="s">
        <v>121</v>
      </c>
      <c r="E21" s="111"/>
      <c r="F21" s="110" t="s">
        <v>122</v>
      </c>
    </row>
    <row r="22" spans="2:6" x14ac:dyDescent="0.3">
      <c r="B22" s="109"/>
      <c r="C22" s="109"/>
      <c r="D22" s="109"/>
      <c r="E22" s="109"/>
      <c r="F22" s="109"/>
    </row>
    <row r="23" spans="2:6" ht="15.45" x14ac:dyDescent="0.4">
      <c r="B23" s="108" t="s">
        <v>123</v>
      </c>
      <c r="C23" s="110" t="s">
        <v>124</v>
      </c>
      <c r="D23" s="111" t="s">
        <v>8</v>
      </c>
      <c r="E23" s="109"/>
      <c r="F23" s="111" t="s">
        <v>8</v>
      </c>
    </row>
    <row r="24" spans="2:6" ht="15" x14ac:dyDescent="0.35">
      <c r="B24" s="109" t="s">
        <v>125</v>
      </c>
      <c r="C24" s="111" t="s">
        <v>126</v>
      </c>
      <c r="D24" s="112">
        <v>73</v>
      </c>
      <c r="E24" s="109"/>
      <c r="F24" s="112">
        <v>73</v>
      </c>
    </row>
    <row r="25" spans="2:6" ht="15" x14ac:dyDescent="0.35">
      <c r="B25" s="109" t="s">
        <v>127</v>
      </c>
      <c r="C25" s="111" t="s">
        <v>128</v>
      </c>
      <c r="D25" s="112">
        <v>81</v>
      </c>
      <c r="E25" s="109"/>
      <c r="F25" s="112">
        <v>81</v>
      </c>
    </row>
    <row r="26" spans="2:6" ht="15" x14ac:dyDescent="0.35">
      <c r="B26" s="109" t="s">
        <v>129</v>
      </c>
      <c r="C26" s="111" t="s">
        <v>130</v>
      </c>
      <c r="D26" s="112">
        <v>90</v>
      </c>
      <c r="E26" s="109"/>
      <c r="F26" s="112">
        <v>90</v>
      </c>
    </row>
    <row r="27" spans="2:6" x14ac:dyDescent="0.3">
      <c r="B27" s="109"/>
      <c r="C27" s="109"/>
      <c r="D27" s="109"/>
      <c r="E27" s="109"/>
      <c r="F27" s="109"/>
    </row>
    <row r="28" spans="2:6" ht="15.45" x14ac:dyDescent="0.4">
      <c r="B28" s="108" t="s">
        <v>131</v>
      </c>
      <c r="C28" s="109"/>
      <c r="D28" s="113"/>
      <c r="E28" s="114"/>
      <c r="F28" s="113"/>
    </row>
    <row r="29" spans="2:6" x14ac:dyDescent="0.3">
      <c r="B29" s="111"/>
      <c r="C29" s="109"/>
      <c r="D29" s="115" t="s">
        <v>132</v>
      </c>
      <c r="E29" s="109"/>
      <c r="F29" s="115" t="s">
        <v>132</v>
      </c>
    </row>
    <row r="30" spans="2:6" ht="15" x14ac:dyDescent="0.35">
      <c r="B30" s="109" t="s">
        <v>125</v>
      </c>
      <c r="C30" s="109"/>
      <c r="D30" s="119">
        <v>950</v>
      </c>
      <c r="E30" s="109"/>
      <c r="F30" s="119">
        <v>950</v>
      </c>
    </row>
    <row r="31" spans="2:6" ht="15" x14ac:dyDescent="0.35">
      <c r="B31" s="109" t="s">
        <v>127</v>
      </c>
      <c r="C31" s="109"/>
      <c r="D31" s="119">
        <v>1050</v>
      </c>
      <c r="E31" s="109"/>
      <c r="F31" s="119">
        <v>1050</v>
      </c>
    </row>
    <row r="32" spans="2:6" ht="15" x14ac:dyDescent="0.35">
      <c r="B32" s="109" t="s">
        <v>129</v>
      </c>
      <c r="C32" s="109"/>
      <c r="D32" s="119">
        <v>1300</v>
      </c>
      <c r="E32" s="114"/>
      <c r="F32" s="119">
        <v>1300</v>
      </c>
    </row>
    <row r="33" spans="2:6" ht="15" x14ac:dyDescent="0.35">
      <c r="B33" s="109"/>
      <c r="C33" s="109"/>
      <c r="D33" s="109"/>
      <c r="E33" s="113"/>
      <c r="F33" s="114"/>
    </row>
    <row r="34" spans="2:6" ht="15.45" x14ac:dyDescent="0.4">
      <c r="B34" s="108" t="s">
        <v>133</v>
      </c>
      <c r="C34" s="109"/>
      <c r="D34" s="31"/>
      <c r="E34" s="109"/>
      <c r="F34" s="109"/>
    </row>
    <row r="35" spans="2:6" ht="15.45" x14ac:dyDescent="0.4">
      <c r="B35" s="108"/>
      <c r="C35" s="109"/>
      <c r="D35" s="111" t="s">
        <v>12</v>
      </c>
      <c r="E35" s="109"/>
      <c r="F35" s="111" t="s">
        <v>12</v>
      </c>
    </row>
    <row r="36" spans="2:6" ht="15" x14ac:dyDescent="0.35">
      <c r="B36" s="109" t="s">
        <v>125</v>
      </c>
      <c r="C36" s="109"/>
      <c r="D36" s="116">
        <f>D24*D30*0.01</f>
        <v>693.5</v>
      </c>
      <c r="E36" s="8"/>
      <c r="F36" s="116">
        <f>F24*F30*0.01</f>
        <v>693.5</v>
      </c>
    </row>
    <row r="37" spans="2:6" ht="15" x14ac:dyDescent="0.35">
      <c r="B37" s="109" t="s">
        <v>127</v>
      </c>
      <c r="C37" s="109"/>
      <c r="D37" s="116">
        <f>D25*D31*0.01</f>
        <v>850.5</v>
      </c>
      <c r="E37" s="8"/>
      <c r="F37" s="116">
        <f>F25*F31*0.01</f>
        <v>850.5</v>
      </c>
    </row>
    <row r="38" spans="2:6" ht="15" x14ac:dyDescent="0.35">
      <c r="B38" s="109" t="s">
        <v>129</v>
      </c>
      <c r="C38" s="109"/>
      <c r="D38" s="116">
        <f>D26*D32*0.01</f>
        <v>1170</v>
      </c>
      <c r="E38" s="8"/>
      <c r="F38" s="116">
        <f>F26*F32*0.01</f>
        <v>1170</v>
      </c>
    </row>
    <row r="39" spans="2:6" x14ac:dyDescent="0.3">
      <c r="B39" s="111"/>
      <c r="C39" s="109"/>
      <c r="D39" s="109"/>
      <c r="E39" s="109"/>
      <c r="F39" s="109"/>
    </row>
    <row r="40" spans="2:6" ht="15" x14ac:dyDescent="0.35">
      <c r="B40" s="19"/>
      <c r="C40" s="19"/>
      <c r="D40" s="41"/>
      <c r="E40" s="41"/>
      <c r="F40" s="19"/>
    </row>
    <row r="41" spans="2:6" ht="15" x14ac:dyDescent="0.35">
      <c r="B41" s="19"/>
      <c r="C41" s="19"/>
      <c r="D41" s="19"/>
      <c r="E41" s="19"/>
      <c r="F41" s="19"/>
    </row>
    <row r="42" spans="2:6" ht="15.45" x14ac:dyDescent="0.4">
      <c r="B42" s="1" t="s">
        <v>134</v>
      </c>
      <c r="C42" s="19"/>
      <c r="D42" s="25" t="s">
        <v>74</v>
      </c>
      <c r="E42" s="25" t="s">
        <v>75</v>
      </c>
      <c r="F42" s="25" t="s">
        <v>45</v>
      </c>
    </row>
    <row r="43" spans="2:6" ht="15" x14ac:dyDescent="0.35">
      <c r="B43" s="19"/>
      <c r="C43" s="19"/>
      <c r="D43" s="25" t="s">
        <v>8</v>
      </c>
      <c r="E43" s="25" t="s">
        <v>76</v>
      </c>
      <c r="F43" s="25" t="s">
        <v>12</v>
      </c>
    </row>
    <row r="44" spans="2:6" ht="15" x14ac:dyDescent="0.35">
      <c r="B44" s="19" t="s">
        <v>135</v>
      </c>
      <c r="C44" s="19"/>
      <c r="D44" s="19"/>
      <c r="E44" s="42">
        <f>'Sell or Upgrade Cull Cows'!E10</f>
        <v>950</v>
      </c>
      <c r="F44" s="19"/>
    </row>
    <row r="45" spans="2:6" ht="15" x14ac:dyDescent="0.35">
      <c r="B45" s="19"/>
      <c r="C45" s="19"/>
      <c r="D45" s="19"/>
      <c r="E45" s="43"/>
      <c r="F45" s="19"/>
    </row>
    <row r="46" spans="2:6" ht="15" x14ac:dyDescent="0.35">
      <c r="B46" s="19"/>
      <c r="C46" s="19"/>
      <c r="D46" s="25" t="s">
        <v>8</v>
      </c>
      <c r="E46" s="19" t="s">
        <v>78</v>
      </c>
      <c r="F46" s="25" t="s">
        <v>12</v>
      </c>
    </row>
    <row r="47" spans="2:6" ht="15" x14ac:dyDescent="0.35">
      <c r="B47" s="19" t="s">
        <v>135</v>
      </c>
      <c r="C47" s="19"/>
      <c r="D47" s="19"/>
      <c r="E47" s="19"/>
      <c r="F47" s="19"/>
    </row>
    <row r="48" spans="2:6" ht="15.45" x14ac:dyDescent="0.4">
      <c r="B48" s="19" t="s">
        <v>141</v>
      </c>
      <c r="C48" s="19"/>
      <c r="D48" s="37">
        <f>'Sell or Upgrade Cull Cows'!C19</f>
        <v>69.941850244167128</v>
      </c>
      <c r="E48" s="120">
        <f>'Sell or Upgrade Cull Cows'!E12</f>
        <v>921.5</v>
      </c>
      <c r="F48" s="75">
        <f>(D48*E48*0.01)</f>
        <v>644.51415000000009</v>
      </c>
    </row>
    <row r="49" spans="2:6" ht="15" x14ac:dyDescent="0.35">
      <c r="B49" s="19"/>
      <c r="C49" s="19"/>
      <c r="D49" s="44"/>
      <c r="E49" s="120"/>
      <c r="F49" s="73"/>
    </row>
    <row r="50" spans="2:6" ht="15" x14ac:dyDescent="0.35">
      <c r="B50" s="12" t="s">
        <v>181</v>
      </c>
      <c r="C50" s="19"/>
      <c r="D50" s="44"/>
      <c r="E50" s="120"/>
      <c r="F50" s="73"/>
    </row>
    <row r="51" spans="2:6" ht="15.45" x14ac:dyDescent="0.4">
      <c r="B51" s="19" t="s">
        <v>142</v>
      </c>
      <c r="C51" s="19"/>
      <c r="D51" s="37">
        <f>'Sell or Upgrade Cull Cows'!E39</f>
        <v>86.665582870737509</v>
      </c>
      <c r="E51" s="120">
        <f>'Sell or Upgrade Cull Cows'!E29</f>
        <v>1261</v>
      </c>
      <c r="F51" s="75">
        <f>(D51*E51*0.01)</f>
        <v>1092.8530000000001</v>
      </c>
    </row>
    <row r="52" spans="2:6" ht="15" x14ac:dyDescent="0.35">
      <c r="B52" s="19"/>
      <c r="C52" s="19"/>
      <c r="D52" s="44"/>
      <c r="E52" s="120"/>
      <c r="F52" s="73"/>
    </row>
    <row r="53" spans="2:6" ht="15" x14ac:dyDescent="0.35">
      <c r="B53" s="45" t="s">
        <v>46</v>
      </c>
      <c r="C53" s="25" t="s">
        <v>12</v>
      </c>
      <c r="D53" s="44"/>
      <c r="E53" s="120"/>
      <c r="F53" s="73"/>
    </row>
    <row r="54" spans="2:6" ht="15" x14ac:dyDescent="0.35">
      <c r="B54" s="19" t="s">
        <v>55</v>
      </c>
      <c r="C54" s="72">
        <f>'Sell or Upgrade Cull Cows'!D55</f>
        <v>30</v>
      </c>
      <c r="D54" s="44"/>
      <c r="E54" s="120"/>
      <c r="F54" s="73"/>
    </row>
    <row r="55" spans="2:6" ht="15.45" x14ac:dyDescent="0.4">
      <c r="B55" s="19" t="s">
        <v>47</v>
      </c>
      <c r="C55" s="19"/>
      <c r="D55" s="37">
        <f>'Sell or Upgrade Cull Cows'!E72</f>
        <v>90.644365809912443</v>
      </c>
      <c r="E55" s="120">
        <f>'Sell or Upgrade Cull Cows'!E29</f>
        <v>1261</v>
      </c>
      <c r="F55" s="75">
        <f>(D55*E55*0.01)</f>
        <v>1143.025452862996</v>
      </c>
    </row>
    <row r="56" spans="2:6" ht="15" x14ac:dyDescent="0.35">
      <c r="C56" s="144"/>
      <c r="D56" s="144"/>
      <c r="E56" s="144"/>
      <c r="F56" s="145"/>
    </row>
    <row r="58" spans="2:6" ht="15" x14ac:dyDescent="0.35">
      <c r="B58" s="11"/>
      <c r="C58" s="11"/>
      <c r="D58" s="62"/>
      <c r="E58" s="11"/>
      <c r="F58" s="11"/>
    </row>
  </sheetData>
  <sheetProtection sheet="1" objects="1" scenarios="1"/>
  <mergeCells count="1">
    <mergeCell ref="B1:F1"/>
  </mergeCells>
  <phoneticPr fontId="0" type="noConversion"/>
  <printOptions horizontalCentered="1"/>
  <pageMargins left="0.75" right="0.75" top="0.75" bottom="0.75" header="0.5" footer="0.5"/>
  <pageSetup scale="79" orientation="portrait" r:id="rId1"/>
  <headerFooter alignWithMargins="0">
    <oddFooter>&amp;L&amp;8&amp;F&amp;R&amp;8&amp;A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S29"/>
  <sheetViews>
    <sheetView topLeftCell="A16" zoomScaleNormal="100" workbookViewId="0">
      <selection activeCell="B11" sqref="B11"/>
    </sheetView>
  </sheetViews>
  <sheetFormatPr defaultRowHeight="12.45" x14ac:dyDescent="0.3"/>
  <cols>
    <col min="1" max="1" width="4.23046875" customWidth="1"/>
    <col min="2" max="2" width="47.53515625" customWidth="1"/>
    <col min="3" max="3" width="11.4609375" customWidth="1"/>
    <col min="4" max="4" width="4.53515625" customWidth="1"/>
    <col min="5" max="9" width="11.69140625" customWidth="1"/>
    <col min="10" max="10" width="21.15234375" customWidth="1"/>
    <col min="11" max="11" width="13.53515625" customWidth="1"/>
    <col min="13" max="13" width="12.15234375" customWidth="1"/>
    <col min="14" max="14" width="11.69140625" customWidth="1"/>
    <col min="15" max="15" width="11" customWidth="1"/>
    <col min="16" max="16" width="12.84375" customWidth="1"/>
    <col min="18" max="18" width="11.4609375" customWidth="1"/>
    <col min="19" max="19" width="11.23046875" customWidth="1"/>
    <col min="20" max="20" width="15.4609375" customWidth="1"/>
  </cols>
  <sheetData>
    <row r="1" spans="2:19" ht="17.600000000000001" x14ac:dyDescent="0.4">
      <c r="B1" s="176" t="s">
        <v>194</v>
      </c>
      <c r="C1" s="176"/>
      <c r="D1" s="176"/>
      <c r="E1" s="176"/>
      <c r="F1" s="176"/>
      <c r="G1" s="176"/>
      <c r="H1" s="176"/>
      <c r="I1" s="176"/>
    </row>
    <row r="2" spans="2:19" ht="15" x14ac:dyDescent="0.35">
      <c r="B2" s="19"/>
      <c r="C2" s="97"/>
      <c r="D2" s="19"/>
      <c r="E2" s="95"/>
    </row>
    <row r="3" spans="2:19" ht="15" x14ac:dyDescent="0.35">
      <c r="B3" s="19"/>
      <c r="C3" s="97"/>
      <c r="D3" s="19"/>
      <c r="E3" s="95"/>
    </row>
    <row r="4" spans="2:19" ht="15" x14ac:dyDescent="0.35">
      <c r="B4" s="95" t="s">
        <v>105</v>
      </c>
      <c r="C4" s="97"/>
      <c r="D4" s="19"/>
    </row>
    <row r="5" spans="2:19" ht="15.45" x14ac:dyDescent="0.4">
      <c r="C5" s="98"/>
      <c r="D5" s="19"/>
      <c r="E5" s="25" t="s">
        <v>12</v>
      </c>
      <c r="F5" s="33" t="s">
        <v>184</v>
      </c>
      <c r="G5" s="28"/>
      <c r="I5" s="99"/>
    </row>
    <row r="6" spans="2:19" ht="15" x14ac:dyDescent="0.35">
      <c r="B6" s="95" t="str">
        <f>'Sell or Upgrade Cull Cows'!A55</f>
        <v>Target Net Margin Per Head Objective</v>
      </c>
      <c r="C6" s="25"/>
      <c r="D6" s="19"/>
      <c r="E6" s="61">
        <f>'Sell or Upgrade Cull Cows'!D55</f>
        <v>30</v>
      </c>
      <c r="F6" s="80">
        <f>'Sell or Upgrade Cull Cows'!E55</f>
        <v>1500</v>
      </c>
      <c r="G6" s="19"/>
      <c r="I6" s="19"/>
    </row>
    <row r="7" spans="2:19" ht="15" x14ac:dyDescent="0.35">
      <c r="B7" s="74" t="s">
        <v>195</v>
      </c>
      <c r="C7" s="161">
        <f>'Sell or Upgrade Cull Cows'!E10</f>
        <v>950</v>
      </c>
      <c r="D7" s="19"/>
      <c r="E7" s="19"/>
      <c r="F7" s="19"/>
      <c r="G7" s="19"/>
      <c r="H7" s="19"/>
      <c r="I7" s="19"/>
    </row>
    <row r="8" spans="2:19" ht="15" x14ac:dyDescent="0.35">
      <c r="B8" s="74" t="s">
        <v>196</v>
      </c>
      <c r="C8" s="161">
        <f>'Sell or Upgrade Cull Cows'!E29</f>
        <v>1261</v>
      </c>
      <c r="D8" s="19"/>
      <c r="E8" s="19"/>
      <c r="F8" s="19"/>
      <c r="G8" s="19"/>
      <c r="H8" s="19"/>
      <c r="I8" s="19"/>
      <c r="K8" s="105">
        <f>'Sell or Upgrade Cull Cows'!C58</f>
        <v>30</v>
      </c>
      <c r="L8" t="s">
        <v>92</v>
      </c>
      <c r="Q8" t="s">
        <v>35</v>
      </c>
      <c r="S8" t="s">
        <v>88</v>
      </c>
    </row>
    <row r="9" spans="2:19" ht="15" x14ac:dyDescent="0.35">
      <c r="B9" s="74" t="s">
        <v>197</v>
      </c>
      <c r="C9" s="96">
        <f>'Sell or Upgrade Cull Cows'!G40</f>
        <v>304.69499999999999</v>
      </c>
      <c r="D9" s="19"/>
      <c r="E9" s="19"/>
      <c r="F9" s="19"/>
      <c r="G9" s="19"/>
      <c r="H9" s="19"/>
      <c r="I9" s="19"/>
      <c r="K9" s="57">
        <f>('Sell or Upgrade Cull Cows'!$D$58*('Sell or Upgrade Cull Cows'!$E$25/365))</f>
        <v>2.1308980213089801</v>
      </c>
      <c r="L9" t="s">
        <v>96</v>
      </c>
    </row>
    <row r="10" spans="2:19" ht="15" x14ac:dyDescent="0.35">
      <c r="B10" s="19"/>
      <c r="C10" s="19"/>
      <c r="D10" s="19"/>
      <c r="E10" s="182" t="s">
        <v>99</v>
      </c>
      <c r="F10" s="182"/>
      <c r="G10" s="182"/>
      <c r="H10" s="182"/>
      <c r="I10" s="182"/>
      <c r="K10" s="33" t="s">
        <v>198</v>
      </c>
      <c r="N10" t="s">
        <v>87</v>
      </c>
      <c r="Q10" s="31">
        <f>C22</f>
        <v>57.843594736842121</v>
      </c>
      <c r="R10" s="59">
        <f>($Q10*'Sell or Upgrade Cull Cows'!$E$9*'Sell or Upgrade Cull Cows'!$E$10*0.01)*(('Sell or Upgrade Cull Cows'!$E$25/365)*'Sell or Upgrade Cull Cows'!$D$58*0.01)</f>
        <v>585.47930745814324</v>
      </c>
      <c r="S10" s="32">
        <f>($R10*'Sell or Upgrade Cull Cows'!$C$58*0.01)+$N$11</f>
        <v>242.04967757483513</v>
      </c>
    </row>
    <row r="11" spans="2:19" ht="15" x14ac:dyDescent="0.35">
      <c r="B11" s="95" t="s">
        <v>81</v>
      </c>
      <c r="C11" s="19"/>
      <c r="D11" s="19"/>
      <c r="E11" s="182" t="s">
        <v>140</v>
      </c>
      <c r="F11" s="182"/>
      <c r="G11" s="182"/>
      <c r="H11" s="182"/>
      <c r="I11" s="182"/>
      <c r="K11" s="154">
        <f>((SUM('Sell or Upgrade Cull Cows'!$E$45:$E$52)*0.5*(('Sell or Upgrade Cull Cows'!$E$25/365)*'Sell or Upgrade Cull Cows'!$D$58*0.01)))</f>
        <v>221.35295112464061</v>
      </c>
      <c r="L11" t="s">
        <v>85</v>
      </c>
      <c r="N11" s="32">
        <f>('Sell or Upgrade Cull Cows'!$K$34*'Sell or Upgrade Cull Cows'!$C$58*0.01)</f>
        <v>66.405885337392178</v>
      </c>
      <c r="Q11" s="31">
        <f>C23</f>
        <v>62.843594736842121</v>
      </c>
      <c r="R11" s="59">
        <f>($Q11*'Sell or Upgrade Cull Cows'!$E$9*'Sell or Upgrade Cull Cows'!$E$10*0.01)*(('Sell or Upgrade Cull Cows'!$E$25/365)*'Sell or Upgrade Cull Cows'!$D$58*0.01)</f>
        <v>636.08813546423153</v>
      </c>
      <c r="S11" s="32">
        <f>($R11*'Sell or Upgrade Cull Cows'!$C$58*0.01)+$N$11</f>
        <v>257.23232597666163</v>
      </c>
    </row>
    <row r="12" spans="2:19" ht="15" x14ac:dyDescent="0.35">
      <c r="B12" s="19"/>
      <c r="C12" s="25" t="s">
        <v>82</v>
      </c>
      <c r="D12" s="19"/>
      <c r="E12" s="19"/>
      <c r="F12" s="19"/>
      <c r="G12" s="19"/>
      <c r="H12" s="100" t="s">
        <v>83</v>
      </c>
      <c r="I12" s="19"/>
      <c r="K12" s="147"/>
      <c r="Q12" s="31">
        <f>C24</f>
        <v>67.843594736842121</v>
      </c>
      <c r="R12" s="59">
        <f>($Q12*'Sell or Upgrade Cull Cows'!$E$9*'Sell or Upgrade Cull Cows'!$E$10*0.01)*(('Sell or Upgrade Cull Cows'!$E$25/365)*'Sell or Upgrade Cull Cows'!$D$58*0.01)</f>
        <v>686.69696347031982</v>
      </c>
      <c r="S12" s="32">
        <f>($R12*'Sell or Upgrade Cull Cows'!$C$58*0.01)+$N$11</f>
        <v>272.41497437848813</v>
      </c>
    </row>
    <row r="13" spans="2:19" ht="15" x14ac:dyDescent="0.35">
      <c r="B13" s="95" t="s">
        <v>106</v>
      </c>
      <c r="C13" s="48">
        <v>4</v>
      </c>
      <c r="D13" s="101"/>
      <c r="E13" s="182" t="s">
        <v>110</v>
      </c>
      <c r="F13" s="182"/>
      <c r="G13" s="182"/>
      <c r="H13" s="182"/>
      <c r="I13" s="182"/>
      <c r="K13" s="146">
        <f>('Sell or Upgrade Cull Cows'!$F$21*'Sell or Upgrade Cull Cows'!$E$9*'Sell or Upgrade Cull Cows'!$E$10*0.01)*(('Sell or Upgrade Cull Cows'!$E$25/365)*'Sell or Upgrade Cull Cows'!$D$58*0.01)</f>
        <v>686.69696347031959</v>
      </c>
      <c r="L13" t="s">
        <v>35</v>
      </c>
      <c r="N13" s="32">
        <f>('Sell or Upgrade Cull Cows'!$K$36*'Sell or Upgrade Cull Cows'!$C$58*0.01)</f>
        <v>206.00908904109588</v>
      </c>
      <c r="Q13" s="31">
        <f>C25</f>
        <v>72.843594736842121</v>
      </c>
      <c r="R13" s="59">
        <f>($Q13*'Sell or Upgrade Cull Cows'!$E$9*'Sell or Upgrade Cull Cows'!$E$10*0.01)*(('Sell or Upgrade Cull Cows'!$E$25/365)*'Sell or Upgrade Cull Cows'!$D$58*0.01)</f>
        <v>737.3057914764081</v>
      </c>
      <c r="S13" s="32">
        <f>($R13*'Sell or Upgrade Cull Cows'!$C$58*0.01)+$N$11</f>
        <v>287.59762278031462</v>
      </c>
    </row>
    <row r="14" spans="2:19" ht="15" x14ac:dyDescent="0.35">
      <c r="B14" s="95" t="s">
        <v>104</v>
      </c>
      <c r="C14" s="48">
        <v>5</v>
      </c>
      <c r="D14" s="19"/>
      <c r="E14" s="50" t="s">
        <v>15</v>
      </c>
      <c r="F14" s="50" t="s">
        <v>15</v>
      </c>
      <c r="G14" s="50" t="s">
        <v>15</v>
      </c>
      <c r="H14" s="50" t="s">
        <v>15</v>
      </c>
      <c r="I14" s="50" t="s">
        <v>15</v>
      </c>
      <c r="K14" s="147"/>
      <c r="Q14" s="31">
        <f>C26</f>
        <v>77.843594736842121</v>
      </c>
      <c r="R14" s="59">
        <f>($Q14*'Sell or Upgrade Cull Cows'!$E$9*'Sell or Upgrade Cull Cows'!$E$10*0.01)*(('Sell or Upgrade Cull Cows'!$E$25/365)*'Sell or Upgrade Cull Cows'!$D$58*0.01)</f>
        <v>787.91461948249639</v>
      </c>
      <c r="S14" s="32">
        <f>($R14*'Sell or Upgrade Cull Cows'!$C$58*0.01)+$N$11</f>
        <v>302.78027118214106</v>
      </c>
    </row>
    <row r="15" spans="2:19" ht="15" x14ac:dyDescent="0.35">
      <c r="B15" s="19"/>
      <c r="C15" s="19"/>
      <c r="D15" s="19"/>
      <c r="E15" s="182" t="s">
        <v>100</v>
      </c>
      <c r="F15" s="182"/>
      <c r="G15" s="25" t="s">
        <v>84</v>
      </c>
      <c r="H15" s="182" t="s">
        <v>101</v>
      </c>
      <c r="I15" s="182"/>
      <c r="K15" s="153">
        <f>(M18+K13)</f>
        <v>881.47861672585827</v>
      </c>
      <c r="L15" t="s">
        <v>86</v>
      </c>
      <c r="N15" s="58">
        <f>(N11+N13)</f>
        <v>272.41497437848807</v>
      </c>
      <c r="Q15" s="31"/>
    </row>
    <row r="16" spans="2:19" ht="15" x14ac:dyDescent="0.35">
      <c r="B16" s="95" t="s">
        <v>109</v>
      </c>
      <c r="C16" s="25" t="s">
        <v>12</v>
      </c>
      <c r="D16" s="19"/>
      <c r="E16" s="107"/>
      <c r="F16" s="61"/>
      <c r="G16" s="61">
        <f>'Sell or Upgrade Cull Cows'!E61+'Sell or Upgrade Cull Cows'!E34</f>
        <v>454.22553829013151</v>
      </c>
      <c r="H16" s="107"/>
      <c r="I16" s="61"/>
      <c r="L16" t="s">
        <v>97</v>
      </c>
      <c r="N16" t="s">
        <v>89</v>
      </c>
      <c r="O16" t="s">
        <v>91</v>
      </c>
      <c r="P16" t="s">
        <v>94</v>
      </c>
    </row>
    <row r="17" spans="2:16" ht="15" x14ac:dyDescent="0.35">
      <c r="B17" s="95" t="s">
        <v>108</v>
      </c>
      <c r="C17" s="25" t="s">
        <v>82</v>
      </c>
      <c r="D17" s="19"/>
      <c r="E17" s="24">
        <f>C13*2*-1</f>
        <v>-8</v>
      </c>
      <c r="F17" s="24">
        <f>C13*-1</f>
        <v>-4</v>
      </c>
      <c r="G17" s="102"/>
      <c r="H17" s="24">
        <f>C13*1</f>
        <v>4</v>
      </c>
      <c r="I17" s="24">
        <f>C13*2</f>
        <v>8</v>
      </c>
      <c r="L17" t="s">
        <v>95</v>
      </c>
      <c r="M17" t="s">
        <v>90</v>
      </c>
      <c r="N17" t="s">
        <v>93</v>
      </c>
      <c r="O17" s="33" t="s">
        <v>90</v>
      </c>
      <c r="P17" s="33" t="s">
        <v>89</v>
      </c>
    </row>
    <row r="18" spans="2:16" ht="15" x14ac:dyDescent="0.35">
      <c r="B18" s="95" t="s">
        <v>107</v>
      </c>
      <c r="C18" s="25" t="s">
        <v>82</v>
      </c>
      <c r="D18" s="19"/>
      <c r="E18" s="24">
        <f>($G$18+E17)</f>
        <v>140.00354800659048</v>
      </c>
      <c r="F18" s="24">
        <f>($G$18+F17)</f>
        <v>144.00354800659048</v>
      </c>
      <c r="G18" s="24">
        <f>'Sell or Upgrade Cull Cows'!E62</f>
        <v>148.00354800659048</v>
      </c>
      <c r="H18" s="24">
        <f>($G$18+H17)</f>
        <v>152.00354800659048</v>
      </c>
      <c r="I18" s="24">
        <f>($G$18+I17)</f>
        <v>156.00354800659048</v>
      </c>
      <c r="K18">
        <v>1</v>
      </c>
      <c r="L18" s="31">
        <f>H17</f>
        <v>4</v>
      </c>
      <c r="M18" s="59">
        <f>((SUM('Sell or Upgrade Cull Cows'!$E$45:$E$48)+N18)*0.5*(('Sell or Upgrade Cull Cows'!$E$25/365)*'Sell or Upgrade Cull Cows'!$D$58*0.01))</f>
        <v>194.78165325553863</v>
      </c>
      <c r="N18" s="58">
        <f>($C$9*0.01*$C$13*0.5)</f>
        <v>6.0938999999999997</v>
      </c>
      <c r="O18" s="32">
        <f>M18-$K$11</f>
        <v>-26.571297869101983</v>
      </c>
      <c r="P18" s="58">
        <f>IF(L18=0,0,(($C$9*C13)+O18))</f>
        <v>1192.208702130898</v>
      </c>
    </row>
    <row r="19" spans="2:16" x14ac:dyDescent="0.3">
      <c r="N19" s="58"/>
    </row>
    <row r="20" spans="2:16" ht="15.45" x14ac:dyDescent="0.4">
      <c r="B20" s="19"/>
      <c r="C20" s="19"/>
      <c r="D20" s="19"/>
      <c r="E20" s="183" t="s">
        <v>111</v>
      </c>
      <c r="F20" s="183"/>
      <c r="G20" s="183"/>
      <c r="H20" s="183"/>
      <c r="I20" s="183"/>
      <c r="K20">
        <v>2</v>
      </c>
      <c r="L20" s="31">
        <f>I17</f>
        <v>8</v>
      </c>
      <c r="M20" s="59">
        <f>((SUM('Sell or Upgrade Cull Cows'!$E$45:$E$48)+N20)*0.5*(('Sell or Upgrade Cull Cows'!$E$25/365)*'Sell or Upgrade Cull Cows'!$D$58*0.01))</f>
        <v>194.84658065279891</v>
      </c>
      <c r="N20" s="58">
        <f>($C$9*0.01*$I$17*0.5)</f>
        <v>12.187799999999999</v>
      </c>
      <c r="O20" s="32">
        <f>M20-$K$11</f>
        <v>-26.506370471841706</v>
      </c>
      <c r="P20" s="58">
        <f>IF(L20=0,0,((C9*I17)+O20))</f>
        <v>2411.0536295281581</v>
      </c>
    </row>
    <row r="21" spans="2:16" ht="15" x14ac:dyDescent="0.35">
      <c r="B21" s="19"/>
      <c r="C21" s="25" t="s">
        <v>102</v>
      </c>
      <c r="D21" s="19"/>
      <c r="E21" s="50" t="s">
        <v>15</v>
      </c>
      <c r="F21" s="50" t="s">
        <v>15</v>
      </c>
      <c r="G21" s="50" t="s">
        <v>15</v>
      </c>
      <c r="H21" s="50" t="s">
        <v>15</v>
      </c>
      <c r="I21" s="50" t="s">
        <v>15</v>
      </c>
    </row>
    <row r="22" spans="2:16" ht="15" x14ac:dyDescent="0.35">
      <c r="B22" s="19"/>
      <c r="C22" s="24">
        <f>C24-2*C14</f>
        <v>57.843594736842121</v>
      </c>
      <c r="D22" s="19"/>
      <c r="E22" s="104">
        <f>($C22*'Sell or Upgrade Cull Cows'!$E$9*'Sell or Upgrade Cull Cows'!$E$10*0.01+SUM('Sell or Upgrade Cull Cows'!$E$45:$E$52)+$S10+F6+$P$24+'Sell or Upgrade Cull Cows'!$E$35*'Sell or Upgrade Cull Cows'!$E$37)/('Sell or Upgrade Cull Cows'!$E$29*'Sell or Upgrade Cull Cows'!$E$37*0.01)</f>
        <v>79.096234388547842</v>
      </c>
      <c r="F22" s="104">
        <f>($C22*'Sell or Upgrade Cull Cows'!$E$9*'Sell or Upgrade Cull Cows'!$E$10*0.01+SUM('Sell or Upgrade Cull Cows'!$E$45:$E$52)+$S10+F6+$P$22+'Sell or Upgrade Cull Cows'!$E$35*'Sell or Upgrade Cull Cows'!$E$37)/('Sell or Upgrade Cull Cows'!$E$29*'Sell or Upgrade Cull Cows'!$E$37*0.01)</f>
        <v>81.039088910797886</v>
      </c>
      <c r="G22" s="152">
        <f>($C22*'Sell or Upgrade Cull Cows'!$E$9*'Sell or Upgrade Cull Cows'!$E$10*0.01+SUM('Sell or Upgrade Cull Cows'!$E$45:$E$52)+'Sell or Upgrade Cull Cows'!$E$55+$S10+'Sell or Upgrade Cull Cows'!$E$35*'Sell or Upgrade Cull Cows'!$E$37)/('Sell or Upgrade Cull Cows'!$E$29*'Sell or Upgrade Cull Cows'!$E$37*0.01)</f>
        <v>83.024401919399381</v>
      </c>
      <c r="H22" s="104">
        <f>($C22*'Sell or Upgrade Cull Cows'!$E$9*'Sell or Upgrade Cull Cows'!$E$10*0.01+SUM('Sell or Upgrade Cull Cows'!$E$45:$E$52)+F6+$S10+$P$18+'Sell or Upgrade Cull Cows'!$E$35*'Sell or Upgrade Cull Cows'!$E$37)/('Sell or Upgrade Cull Cows'!$E$29*'Sell or Upgrade Cull Cows'!$E$37*0.01)</f>
        <v>84.924797955297976</v>
      </c>
      <c r="I22" s="104">
        <f>($C22*'Sell or Upgrade Cull Cows'!$E$9*'Sell or Upgrade Cull Cows'!$E$10*0.01+SUM('Sell or Upgrade Cull Cows'!$E$45:$E$52)+F6+$S10+$P$20+'Sell or Upgrade Cull Cows'!$E$35*'Sell or Upgrade Cull Cows'!$E$37)/('Sell or Upgrade Cull Cows'!$E$29*'Sell or Upgrade Cull Cows'!$E$37*0.01)</f>
        <v>86.86765247754802</v>
      </c>
      <c r="K22">
        <v>3</v>
      </c>
      <c r="L22" s="31">
        <f>F17</f>
        <v>-4</v>
      </c>
      <c r="M22" s="59">
        <f>((SUM('Sell or Upgrade Cull Cows'!$E$45:$E$48)+N22)*0.5*(('Sell or Upgrade Cull Cows'!$E$25/365)*'Sell or Upgrade Cull Cows'!$D$58*0.01))</f>
        <v>194.65179846101807</v>
      </c>
      <c r="N22" s="58">
        <f>($C$9*0.01*$F$17*0.5)</f>
        <v>-6.0938999999999997</v>
      </c>
      <c r="O22" s="32">
        <f>M22-$K$11</f>
        <v>-26.701152663622537</v>
      </c>
      <c r="P22" s="58">
        <f>IF(L22=0,0,(($C$9*F17)+O22))</f>
        <v>-1245.4811526636224</v>
      </c>
    </row>
    <row r="23" spans="2:16" ht="15" x14ac:dyDescent="0.35">
      <c r="B23" s="19"/>
      <c r="C23" s="24">
        <f>(C24-C14)</f>
        <v>62.843594736842121</v>
      </c>
      <c r="D23" s="19"/>
      <c r="E23" s="104">
        <f>($C23*'Sell or Upgrade Cull Cows'!$E$9*'Sell or Upgrade Cull Cows'!$E$10*0.01+SUM('Sell or Upgrade Cull Cows'!$E$45:$E$52)+$S11+F6+$P$24+'Sell or Upgrade Cull Cows'!$E$35*'Sell or Upgrade Cull Cows'!$E$37)/('Sell or Upgrade Cull Cows'!$E$29*'Sell or Upgrade Cull Cows'!$E$37*0.01)</f>
        <v>82.906216333804394</v>
      </c>
      <c r="F23" s="104">
        <f>($C23*'Sell or Upgrade Cull Cows'!$E$9*'Sell or Upgrade Cull Cows'!$E$10*0.01+SUM('Sell or Upgrade Cull Cows'!$E$45:$E$52)+$S11+F6+$P$22+'Sell or Upgrade Cull Cows'!$E$35*'Sell or Upgrade Cull Cows'!$E$37)/('Sell or Upgrade Cull Cows'!$E$29*'Sell or Upgrade Cull Cows'!$E$37*0.01)</f>
        <v>84.849070856054425</v>
      </c>
      <c r="G23" s="152">
        <f>($C23*'Sell or Upgrade Cull Cows'!$E$9*'Sell or Upgrade Cull Cows'!$E$10*0.01+SUM('Sell or Upgrade Cull Cows'!$E$45:$E$52)+'Sell or Upgrade Cull Cows'!$E$55+$S11+'Sell or Upgrade Cull Cows'!$E$35*'Sell or Upgrade Cull Cows'!$E$37)/('Sell or Upgrade Cull Cows'!$E$29*'Sell or Upgrade Cull Cows'!$E$37*0.01)</f>
        <v>86.834383864655919</v>
      </c>
      <c r="H23" s="104">
        <f>($C23*'Sell or Upgrade Cull Cows'!$E$9*'Sell or Upgrade Cull Cows'!$E$10*0.01+SUM('Sell or Upgrade Cull Cows'!$E$45:$E$52)+F6+$S11+$P$18+'Sell or Upgrade Cull Cows'!$E$35*'Sell or Upgrade Cull Cows'!$E$37)/('Sell or Upgrade Cull Cows'!$E$29*'Sell or Upgrade Cull Cows'!$E$37*0.01)</f>
        <v>88.734779900554528</v>
      </c>
      <c r="I23" s="104">
        <f>($C23*'Sell or Upgrade Cull Cows'!$E$9*'Sell or Upgrade Cull Cows'!$E$10*0.01+SUM('Sell or Upgrade Cull Cows'!$E$45:$E$52)+F6+$S11+$P$20+'Sell or Upgrade Cull Cows'!$E$35*'Sell or Upgrade Cull Cows'!$E$37)/('Sell or Upgrade Cull Cows'!$E$29*'Sell or Upgrade Cull Cows'!$E$37*0.01)</f>
        <v>90.677634422804573</v>
      </c>
    </row>
    <row r="24" spans="2:16" ht="15.45" x14ac:dyDescent="0.4">
      <c r="B24" s="95" t="s">
        <v>103</v>
      </c>
      <c r="C24" s="162">
        <f>('Sell or Upgrade Cull Cows'!D19/'Sell or Upgrade Cull Cows'!E10)*100</f>
        <v>67.843594736842121</v>
      </c>
      <c r="D24" s="19"/>
      <c r="E24" s="104">
        <f>($C24*'Sell or Upgrade Cull Cows'!$E$9*'Sell or Upgrade Cull Cows'!$E$10*0.01+SUM('Sell or Upgrade Cull Cows'!$E$45:$E$52)+$S12+F6+$P$24+'Sell or Upgrade Cull Cows'!$E$35*'Sell or Upgrade Cull Cows'!$E$37)/('Sell or Upgrade Cull Cows'!$E$29*'Sell or Upgrade Cull Cows'!$E$37*0.01)</f>
        <v>86.716198279060919</v>
      </c>
      <c r="F24" s="104">
        <f>($C24*'Sell or Upgrade Cull Cows'!$E$9*'Sell or Upgrade Cull Cows'!$E$10*0.01+SUM('Sell or Upgrade Cull Cows'!$E$45:$E$52)+$S12+F6+$P$22+'Sell or Upgrade Cull Cows'!$E$35*'Sell or Upgrade Cull Cows'!$E$37)/('Sell or Upgrade Cull Cows'!$E$29*'Sell or Upgrade Cull Cows'!$E$37*0.01)</f>
        <v>88.659052801310963</v>
      </c>
      <c r="G24" s="28">
        <f>($C24*'Sell or Upgrade Cull Cows'!$E$9*'Sell or Upgrade Cull Cows'!$E$10*0.01+SUM('Sell or Upgrade Cull Cows'!$E$45:$E$52)+F6+$S12+'Sell or Upgrade Cull Cows'!$E$35*'Sell or Upgrade Cull Cows'!$E$37)/('Sell or Upgrade Cull Cows'!$E$29*'Sell or Upgrade Cull Cows'!$E$37*0.01)</f>
        <v>90.644365809912458</v>
      </c>
      <c r="H24" s="152">
        <f>($C24*'Sell or Upgrade Cull Cows'!$E$9*'Sell or Upgrade Cull Cows'!$E$10*0.01+SUM('Sell or Upgrade Cull Cows'!$E$45:$E$52)+$F$6+$S12+P18+'Sell or Upgrade Cull Cows'!$E$35*'Sell or Upgrade Cull Cows'!$E$37)/('Sell or Upgrade Cull Cows'!$E$29*'Sell or Upgrade Cull Cows'!$E$37*0.01)</f>
        <v>92.544761845811067</v>
      </c>
      <c r="I24" s="104">
        <f>($C24*'Sell or Upgrade Cull Cows'!$E$9*'Sell or Upgrade Cull Cows'!$E$10*0.01+SUM('Sell or Upgrade Cull Cows'!$E$45:$E$52)+F6+$S12+$P$20+'Sell or Upgrade Cull Cows'!$E$35*'Sell or Upgrade Cull Cows'!$E$37)/('Sell or Upgrade Cull Cows'!$E$29*'Sell or Upgrade Cull Cows'!$E$37*0.01)</f>
        <v>94.487616368061097</v>
      </c>
      <c r="K24">
        <v>4</v>
      </c>
      <c r="L24" s="31">
        <f>E17</f>
        <v>-8</v>
      </c>
      <c r="M24" s="59">
        <f>((SUM('Sell or Upgrade Cull Cows'!$E$45:$E$48)+N24)*0.5*(('Sell or Upgrade Cull Cows'!$E$25/365)*'Sell or Upgrade Cull Cows'!$D$58*0.01))</f>
        <v>194.5868710637578</v>
      </c>
      <c r="N24" s="58">
        <f>($C$9*0.01*$E$17*0.5)</f>
        <v>-12.187799999999999</v>
      </c>
      <c r="O24" s="32">
        <f>M24-$K$11</f>
        <v>-26.766080060882814</v>
      </c>
      <c r="P24" s="58">
        <f>IF(L24=0,0,(($C$9*E17)+O24))</f>
        <v>-2464.3260800608828</v>
      </c>
    </row>
    <row r="25" spans="2:16" ht="15" x14ac:dyDescent="0.35">
      <c r="B25" s="19"/>
      <c r="C25" s="24">
        <f>C24+C14</f>
        <v>72.843594736842121</v>
      </c>
      <c r="D25" s="19"/>
      <c r="E25" s="104">
        <f>($C25*'Sell or Upgrade Cull Cows'!$E$9*'Sell or Upgrade Cull Cows'!$E$10*0.01+SUM('Sell or Upgrade Cull Cows'!$E$45:$E$52)+$S13+F6+$P$24+'Sell or Upgrade Cull Cows'!$E$35*'Sell or Upgrade Cull Cows'!$E$37)/('Sell or Upgrade Cull Cows'!$E$29*'Sell or Upgrade Cull Cows'!$E$37*0.01)</f>
        <v>90.526180224317457</v>
      </c>
      <c r="F25" s="104">
        <f>($C25*'Sell or Upgrade Cull Cows'!$E$9*'Sell or Upgrade Cull Cows'!$E$10*0.01+SUM('Sell or Upgrade Cull Cows'!$E$45:$E$52)+$S13+F6+$P$22+'Sell or Upgrade Cull Cows'!$E$35*'Sell or Upgrade Cull Cows'!$E$37)/('Sell or Upgrade Cull Cows'!$E$29*'Sell or Upgrade Cull Cows'!$E$37*0.01)/(1-('Sell or Upgrade Cull Cows'!$D$37*0.01))</f>
        <v>92.933703262881906</v>
      </c>
      <c r="G25" s="152">
        <f>($C25*'Sell or Upgrade Cull Cows'!$E$9*'Sell or Upgrade Cull Cows'!$E$10*0.01+SUM('Sell or Upgrade Cull Cows'!$E$45:$E$52)+'Sell or Upgrade Cull Cows'!$E$55+$S13+'Sell or Upgrade Cull Cows'!$E$35*'Sell or Upgrade Cull Cows'!$E$37)/('Sell or Upgrade Cull Cows'!$E$29*'Sell or Upgrade Cull Cows'!$E$37*0.01)</f>
        <v>94.454347755168996</v>
      </c>
      <c r="H25" s="104">
        <f>($C25*'Sell or Upgrade Cull Cows'!$E$9*'Sell or Upgrade Cull Cows'!$E$10*0.01+SUM('Sell or Upgrade Cull Cows'!$E$45:$E$52)+F6+$S13+$P$18+'Sell or Upgrade Cull Cows'!$E$35*'Sell or Upgrade Cull Cows'!$E$37)/('Sell or Upgrade Cull Cows'!$E$29*'Sell or Upgrade Cull Cows'!$E$37*0.01)</f>
        <v>96.354743791067591</v>
      </c>
      <c r="I25" s="104">
        <f>($C25*'Sell or Upgrade Cull Cows'!$E$9*'Sell or Upgrade Cull Cows'!$E$10*0.01+SUM('Sell or Upgrade Cull Cows'!$E$45:$E$52)+$S13+F6+$P$20+'Sell or Upgrade Cull Cows'!$E$35*'Sell or Upgrade Cull Cows'!$E$37)/('Sell or Upgrade Cull Cows'!$E$29*'Sell or Upgrade Cull Cows'!$E$37*0.01)</f>
        <v>98.297598313317636</v>
      </c>
    </row>
    <row r="26" spans="2:16" ht="15" x14ac:dyDescent="0.35">
      <c r="B26" s="19"/>
      <c r="C26" s="24">
        <f>C24+2*C14</f>
        <v>77.843594736842121</v>
      </c>
      <c r="D26" s="19"/>
      <c r="E26" s="104">
        <f>($C26*'Sell or Upgrade Cull Cows'!$E$9*'Sell or Upgrade Cull Cows'!$E$10*0.01+SUM('Sell or Upgrade Cull Cows'!$E$45:$E$52)+$S14+F6+$P$24+'Sell or Upgrade Cull Cows'!$E$35*'Sell or Upgrade Cull Cows'!$E$37)/('Sell or Upgrade Cull Cows'!$E$29*'Sell or Upgrade Cull Cows'!$E$37*0.01)</f>
        <v>94.33616216957401</v>
      </c>
      <c r="F26" s="104">
        <f>($C26*'Sell or Upgrade Cull Cows'!$E$9*'Sell or Upgrade Cull Cows'!$E$10*0.01+SUM('Sell or Upgrade Cull Cows'!$E$45:$E$52)+$S14+F6+$P$22+'Sell or Upgrade Cull Cows'!$E$35*'Sell or Upgrade Cull Cows'!$E$37)/('Sell or Upgrade Cull Cows'!$E$29*'Sell or Upgrade Cull Cows'!$E$37*0.01)</f>
        <v>96.27901669182404</v>
      </c>
      <c r="G26" s="152">
        <f>($C26*'Sell or Upgrade Cull Cows'!$E$9*'Sell or Upgrade Cull Cows'!$E$10*0.01+SUM('Sell or Upgrade Cull Cows'!$E$45:$E$52)+'Sell or Upgrade Cull Cows'!$E$55+$S14+'Sell or Upgrade Cull Cows'!$E$35*'Sell or Upgrade Cull Cows'!$E$37)/('Sell or Upgrade Cull Cows'!$E$29*'Sell or Upgrade Cull Cows'!$E$37*0.01)</f>
        <v>98.264329700425534</v>
      </c>
      <c r="H26" s="104">
        <f>($C26*'Sell or Upgrade Cull Cows'!$E$9*'Sell or Upgrade Cull Cows'!$E$10*0.01+SUM('Sell or Upgrade Cull Cows'!$E$45:$E$52)+F6+$S14+$P$18+'Sell or Upgrade Cull Cows'!$E$35*'Sell or Upgrade Cull Cows'!$E$37)/('Sell or Upgrade Cull Cows'!$E$29*'Sell or Upgrade Cull Cows'!$E$37*0.01)</f>
        <v>100.16472573632414</v>
      </c>
      <c r="I26" s="104">
        <f>($C26*'Sell or Upgrade Cull Cows'!$E$9*'Sell or Upgrade Cull Cows'!$E$10*0.01+SUM('Sell or Upgrade Cull Cows'!$E$45:$E$52)+$S14+F6+$P$20+'Sell or Upgrade Cull Cows'!$E$35*'Sell or Upgrade Cull Cows'!$E$37)/('Sell or Upgrade Cull Cows'!$E$29*'Sell or Upgrade Cull Cows'!$E$37*0.01)</f>
        <v>102.10758025857419</v>
      </c>
      <c r="K26" s="31">
        <f>'Sell or Upgrade Cull Cows'!E72</f>
        <v>90.644365809912443</v>
      </c>
    </row>
    <row r="27" spans="2:16" ht="15" x14ac:dyDescent="0.35">
      <c r="B27" s="19"/>
      <c r="C27" s="19"/>
      <c r="D27" s="19"/>
      <c r="E27" s="50"/>
      <c r="F27" s="50"/>
      <c r="G27" s="50"/>
      <c r="H27" s="50"/>
      <c r="I27" s="50"/>
    </row>
    <row r="28" spans="2:16" x14ac:dyDescent="0.3">
      <c r="B28" s="106" t="s">
        <v>15</v>
      </c>
      <c r="C28" s="106"/>
      <c r="D28" s="106"/>
      <c r="E28" s="106"/>
      <c r="F28" s="106"/>
      <c r="G28" s="106"/>
      <c r="H28" s="106"/>
      <c r="I28" s="106"/>
    </row>
    <row r="29" spans="2:16" ht="15" x14ac:dyDescent="0.35">
      <c r="B29" s="19" t="s">
        <v>98</v>
      </c>
    </row>
  </sheetData>
  <sheetProtection sheet="1" objects="1" scenarios="1"/>
  <mergeCells count="7">
    <mergeCell ref="E15:F15"/>
    <mergeCell ref="H15:I15"/>
    <mergeCell ref="E20:I20"/>
    <mergeCell ref="B1:I1"/>
    <mergeCell ref="E11:I11"/>
    <mergeCell ref="E10:I10"/>
    <mergeCell ref="E13:I13"/>
  </mergeCells>
  <phoneticPr fontId="0" type="noConversion"/>
  <printOptions horizontalCentered="1"/>
  <pageMargins left="0.75" right="0.75" top="0.75" bottom="0.75" header="0.5" footer="0.5"/>
  <pageSetup scale="74" orientation="portrait" r:id="rId1"/>
  <headerFooter alignWithMargins="0">
    <oddFooter>&amp;L&amp;F&amp;R&amp;F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Sell or Upgrade Cull Cows</vt:lpstr>
      <vt:lpstr>Margin &amp; Summary</vt:lpstr>
      <vt:lpstr>SensitivityAnalysis</vt:lpstr>
      <vt:lpstr>margin_slide</vt:lpstr>
      <vt:lpstr>'Margin &amp; Summary'!Print_Area</vt:lpstr>
      <vt:lpstr>'Sell or Upgrade Cull Cows'!Print_Area</vt:lpstr>
      <vt:lpstr>SensitivityAnalysis!Print_Area</vt:lpstr>
      <vt:lpstr>sell_keep</vt:lpstr>
      <vt:lpstr>sensitivity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Kolle</dc:creator>
  <cp:lastModifiedBy>Jim McGrann</cp:lastModifiedBy>
  <cp:lastPrinted>2022-04-13T14:44:01Z</cp:lastPrinted>
  <dcterms:created xsi:type="dcterms:W3CDTF">2000-10-06T20:53:55Z</dcterms:created>
  <dcterms:modified xsi:type="dcterms:W3CDTF">2022-04-13T15:16:10Z</dcterms:modified>
</cp:coreProperties>
</file>