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cho.abello\Downloads\"/>
    </mc:Choice>
  </mc:AlternateContent>
  <xr:revisionPtr revIDLastSave="0" documentId="8_{3FD190AB-6C4A-40DD-9A80-54089EE1C078}" xr6:coauthVersionLast="46" xr6:coauthVersionMax="46" xr10:uidLastSave="{00000000-0000-0000-0000-000000000000}"/>
  <bookViews>
    <workbookView xWindow="-28920" yWindow="-120" windowWidth="29040" windowHeight="17640" xr2:uid="{00000000-000D-0000-FFFF-FFFF00000000}"/>
  </bookViews>
  <sheets>
    <sheet name="1. Cow Bid Price" sheetId="4" r:id="rId1"/>
    <sheet name="2. Estimated Operating Cost " sheetId="5" r:id="rId2"/>
  </sheets>
  <definedNames>
    <definedName name="_xlnm.Print_Area" localSheetId="0">'1. Cow Bid Price'!$B$1:$J$57</definedName>
    <definedName name="_xlnm.Print_Area" localSheetId="1">'2. Estimated Operating Cost '!$B$1:$H$42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4" l="1"/>
  <c r="C43" i="4"/>
  <c r="E21" i="4"/>
  <c r="D12" i="5"/>
  <c r="J8" i="4"/>
  <c r="K30" i="5" l="1"/>
  <c r="L28" i="5"/>
  <c r="K32" i="5" l="1"/>
  <c r="K33" i="5" s="1"/>
  <c r="K35" i="5" s="1"/>
  <c r="F25" i="5" s="1"/>
  <c r="B5" i="5" l="1"/>
  <c r="F16" i="5" l="1"/>
  <c r="F15" i="5"/>
  <c r="F14" i="5"/>
  <c r="F13" i="5"/>
  <c r="F12" i="5"/>
  <c r="F11" i="5"/>
  <c r="H32" i="5" l="1"/>
  <c r="F37" i="5"/>
  <c r="H22" i="5"/>
  <c r="C18" i="4" l="1"/>
  <c r="C23" i="4" s="1"/>
  <c r="H35" i="5"/>
  <c r="L11" i="4"/>
  <c r="H31" i="5"/>
  <c r="F8" i="5"/>
  <c r="L13" i="4"/>
  <c r="I18" i="4"/>
  <c r="I23" i="4" s="1"/>
  <c r="I32" i="4"/>
  <c r="I69" i="4"/>
  <c r="I33" i="4" s="1"/>
  <c r="I44" i="4"/>
  <c r="H18" i="4"/>
  <c r="H23" i="4" s="1"/>
  <c r="H32" i="4"/>
  <c r="H69" i="4"/>
  <c r="H44" i="4"/>
  <c r="G18" i="4"/>
  <c r="G23" i="4" s="1"/>
  <c r="G32" i="4"/>
  <c r="G69" i="4"/>
  <c r="G44" i="4"/>
  <c r="F18" i="4"/>
  <c r="F23" i="4" s="1"/>
  <c r="F32" i="4"/>
  <c r="F69" i="4"/>
  <c r="F44" i="4"/>
  <c r="E18" i="4"/>
  <c r="E23" i="4" s="1"/>
  <c r="E32" i="4"/>
  <c r="E69" i="4"/>
  <c r="E33" i="4" s="1"/>
  <c r="E44" i="4"/>
  <c r="D18" i="4"/>
  <c r="D23" i="4" s="1"/>
  <c r="D32" i="4"/>
  <c r="D69" i="4"/>
  <c r="D44" i="4"/>
  <c r="C32" i="4"/>
  <c r="C69" i="4"/>
  <c r="C44" i="4"/>
  <c r="E26" i="4"/>
  <c r="B51" i="4" s="1"/>
  <c r="I50" i="4"/>
  <c r="H50" i="4"/>
  <c r="G50" i="4"/>
  <c r="F50" i="4"/>
  <c r="E50" i="4"/>
  <c r="D50" i="4"/>
  <c r="I12" i="4"/>
  <c r="H12" i="4"/>
  <c r="G12" i="4"/>
  <c r="F12" i="4"/>
  <c r="E12" i="4"/>
  <c r="D12" i="4"/>
  <c r="C12" i="4"/>
  <c r="D11" i="4"/>
  <c r="E11" i="4" s="1"/>
  <c r="F11" i="4" s="1"/>
  <c r="G11" i="4" s="1"/>
  <c r="H11" i="4" s="1"/>
  <c r="I11" i="4" s="1"/>
  <c r="H3" i="4"/>
  <c r="D39" i="4" l="1"/>
  <c r="D37" i="4"/>
  <c r="C39" i="4"/>
  <c r="C37" i="4"/>
  <c r="I37" i="4"/>
  <c r="I39" i="4"/>
  <c r="E37" i="4"/>
  <c r="E39" i="4"/>
  <c r="F37" i="4"/>
  <c r="F39" i="4"/>
  <c r="G37" i="4"/>
  <c r="G39" i="4"/>
  <c r="H39" i="4"/>
  <c r="H37" i="4"/>
  <c r="F17" i="5"/>
  <c r="E34" i="4"/>
  <c r="G33" i="4"/>
  <c r="G34" i="4" s="1"/>
  <c r="J32" i="4"/>
  <c r="H21" i="5"/>
  <c r="B72" i="4"/>
  <c r="I34" i="4"/>
  <c r="F33" i="4"/>
  <c r="F34" i="4" s="1"/>
  <c r="H33" i="4"/>
  <c r="H34" i="4" s="1"/>
  <c r="D33" i="4"/>
  <c r="D34" i="4" s="1"/>
  <c r="C33" i="4"/>
  <c r="F26" i="5" l="1"/>
  <c r="F39" i="5" s="1"/>
  <c r="G41" i="4"/>
  <c r="E41" i="4"/>
  <c r="D41" i="4"/>
  <c r="C34" i="4"/>
  <c r="J33" i="4"/>
  <c r="D51" i="4" l="1"/>
  <c r="D72" i="4" s="1"/>
  <c r="E51" i="4"/>
  <c r="E72" i="4" s="1"/>
  <c r="G51" i="4"/>
  <c r="G72" i="4" s="1"/>
  <c r="F41" i="4"/>
  <c r="H41" i="4"/>
  <c r="C41" i="4"/>
  <c r="H14" i="5"/>
  <c r="H33" i="5"/>
  <c r="H19" i="5"/>
  <c r="H36" i="5"/>
  <c r="I41" i="4"/>
  <c r="F51" i="4" l="1"/>
  <c r="F72" i="4" s="1"/>
  <c r="I51" i="4"/>
  <c r="I72" i="4" s="1"/>
  <c r="H51" i="4"/>
  <c r="H72" i="4" s="1"/>
  <c r="C51" i="4"/>
  <c r="B62" i="4" s="1"/>
  <c r="H25" i="5"/>
  <c r="H34" i="5"/>
  <c r="H8" i="5"/>
  <c r="H12" i="5"/>
  <c r="L21" i="4"/>
  <c r="H13" i="5"/>
  <c r="H29" i="5"/>
  <c r="H11" i="5"/>
  <c r="H30" i="5"/>
  <c r="H20" i="5"/>
  <c r="B66" i="4"/>
  <c r="C66" i="4" s="1"/>
  <c r="B57" i="4" s="1"/>
  <c r="B63" i="4" l="1"/>
  <c r="B64" i="4" s="1"/>
  <c r="B55" i="4" s="1"/>
  <c r="C72" i="4"/>
  <c r="J51" i="4" s="1"/>
  <c r="J6" i="4" s="1"/>
  <c r="J9" i="4" s="1"/>
  <c r="H37" i="5"/>
  <c r="H17" i="5"/>
  <c r="H26" i="5" s="1"/>
  <c r="C62" i="4"/>
  <c r="B56" i="4" s="1"/>
  <c r="B54" i="4" l="1"/>
  <c r="M32" i="5"/>
</calcChain>
</file>

<file path=xl/sharedStrings.xml><?xml version="1.0" encoding="utf-8"?>
<sst xmlns="http://schemas.openxmlformats.org/spreadsheetml/2006/main" count="122" uniqueCount="112">
  <si>
    <t>%</t>
  </si>
  <si>
    <t xml:space="preserve">Net Present </t>
  </si>
  <si>
    <t xml:space="preserve">Expected Number of </t>
  </si>
  <si>
    <t>Discount Rate</t>
  </si>
  <si>
    <t>Year</t>
  </si>
  <si>
    <t>Calf Crop or Weaning %</t>
  </si>
  <si>
    <t>Steers Price ($/Cwt)</t>
  </si>
  <si>
    <t>Heifer Price ($/Cwt)</t>
  </si>
  <si>
    <t>Cull Cow Price ($/Cwt)</t>
  </si>
  <si>
    <t>Gross Receipts (Calf Sales)</t>
  </si>
  <si>
    <t>Cow Operating Cost/Year</t>
  </si>
  <si>
    <t>Net Above Operating Cost</t>
  </si>
  <si>
    <t>Financial Information</t>
  </si>
  <si>
    <t>Equals</t>
  </si>
  <si>
    <t>Per Head</t>
  </si>
  <si>
    <t>Interest Rate (%)</t>
  </si>
  <si>
    <t>Totals</t>
  </si>
  <si>
    <t>Interest Payment</t>
  </si>
  <si>
    <t>Principal Payment</t>
  </si>
  <si>
    <t>Debt Service Requirement</t>
  </si>
  <si>
    <t>Cash Flow Available</t>
  </si>
  <si>
    <t>for Debt Service</t>
  </si>
  <si>
    <t>Net Cash Flow</t>
  </si>
  <si>
    <t>Cash Flows</t>
  </si>
  <si>
    <t>Net Present</t>
  </si>
  <si>
    <t>Year 0</t>
  </si>
  <si>
    <t>Year 1</t>
  </si>
  <si>
    <t>Value</t>
  </si>
  <si>
    <t>Date Printed</t>
  </si>
  <si>
    <t>Analysis Section</t>
  </si>
  <si>
    <t xml:space="preserve">   Other</t>
  </si>
  <si>
    <t>Fuel and Oil</t>
  </si>
  <si>
    <t>See next sheet for worksheet</t>
  </si>
  <si>
    <t>Depreciation</t>
  </si>
  <si>
    <t>% of Total</t>
  </si>
  <si>
    <t>Veterinarian &amp; Medicine</t>
  </si>
  <si>
    <t>Average Calf Crop</t>
  </si>
  <si>
    <t>Per BCU</t>
  </si>
  <si>
    <t>Months</t>
  </si>
  <si>
    <t>Bull feed with BCU</t>
  </si>
  <si>
    <t>$/BCU</t>
  </si>
  <si>
    <t>Replacement Rate</t>
  </si>
  <si>
    <t>Productive Life</t>
  </si>
  <si>
    <t>Salvage Value</t>
  </si>
  <si>
    <t>Bull Cost</t>
  </si>
  <si>
    <t>Weight</t>
  </si>
  <si>
    <t>Cows/Bull</t>
  </si>
  <si>
    <t>Raised feed at market value.</t>
  </si>
  <si>
    <t>Repair &amp; Maintenance of Vehicle &amp; Equipment</t>
  </si>
  <si>
    <t>Accounting and other services.</t>
  </si>
  <si>
    <t xml:space="preserve">  Equity Requirement (%)</t>
  </si>
  <si>
    <t xml:space="preserve">  Length of Note (Years)</t>
  </si>
  <si>
    <t>Cow Calf Annual Estimated Operating Cost per BCU*</t>
  </si>
  <si>
    <t>Costs</t>
  </si>
  <si>
    <t>Subtotal Grazing &amp; Stored Feed Costs</t>
  </si>
  <si>
    <t>Value/Hd.*</t>
  </si>
  <si>
    <t>Herd Bull Depreciation</t>
  </si>
  <si>
    <t>Used when AI is used</t>
  </si>
  <si>
    <t xml:space="preserve">Use as a guide to estimate costs for the cow bid price sheet. </t>
  </si>
  <si>
    <t>Hired and Owner Labor &amp; Management</t>
  </si>
  <si>
    <t>Direct Costs</t>
  </si>
  <si>
    <t>Indirect Costs</t>
  </si>
  <si>
    <t>Total Direct Costs</t>
  </si>
  <si>
    <t xml:space="preserve">  Herd Bull</t>
  </si>
  <si>
    <t xml:space="preserve">  Vehicles, Machinery &amp; Equipment</t>
  </si>
  <si>
    <t>Total Indirect Costs</t>
  </si>
  <si>
    <t>Total Operating Cost**</t>
  </si>
  <si>
    <t xml:space="preserve">  Breeding Cow* </t>
  </si>
  <si>
    <t>Replacement or Culling Rate</t>
  </si>
  <si>
    <t>Utilities</t>
  </si>
  <si>
    <t xml:space="preserve"> Other</t>
  </si>
  <si>
    <t>_______________________________________________________________</t>
  </si>
  <si>
    <t>Cull Bull Price $/Cwt.</t>
  </si>
  <si>
    <t>Must include owner operator compensation equal to hired employee.</t>
  </si>
  <si>
    <t>Hay</t>
  </si>
  <si>
    <t>Protein Supplement</t>
  </si>
  <si>
    <t>Salt &amp; Mineral</t>
  </si>
  <si>
    <t>Other</t>
  </si>
  <si>
    <t>Quantity</t>
  </si>
  <si>
    <t>Feed &amp; Grazing Land Costs</t>
  </si>
  <si>
    <t>$/Unit</t>
  </si>
  <si>
    <t>Rolls</t>
  </si>
  <si>
    <t>Cwt.</t>
  </si>
  <si>
    <t>Lbs.</t>
  </si>
  <si>
    <t>Land Grazing Lease</t>
  </si>
  <si>
    <t>A net cash lease or a return to owned land is gross lease minus property tax, maintenance and other cost paid by land owner.</t>
  </si>
  <si>
    <t>BCU is breeding cow unit or cow, calf, and portion of replacement heifer  and bull or approximately 1.6 AU's.</t>
  </si>
  <si>
    <t>The income tax impact is only an estimate because the whole business activities determine taxable income.</t>
  </si>
  <si>
    <t>Pease check the manual to review the discount and net present NPV methodology.</t>
  </si>
  <si>
    <t>Calculated operating cost.</t>
  </si>
  <si>
    <t>Purchase bred - lease rate as grazing cost Rolling Plains of West TX</t>
  </si>
  <si>
    <t>Death Loss</t>
  </si>
  <si>
    <t>Net Salvage Value</t>
  </si>
  <si>
    <t>Bull Depreciation/BCU</t>
  </si>
  <si>
    <t>Net revenue based on bull culling rate and death loss.</t>
  </si>
  <si>
    <t>Breeding Cow Unit (BCU) includes portion of replacement heifers and bulls or about 1.6 AU's</t>
  </si>
  <si>
    <r>
      <t xml:space="preserve">General &amp; Administration </t>
    </r>
    <r>
      <rPr>
        <sz val="10"/>
        <rFont val="Arial"/>
        <family val="2"/>
      </rPr>
      <t>(accounting and other services)</t>
    </r>
  </si>
  <si>
    <t>Cow Bid Price ($/Head)</t>
  </si>
  <si>
    <t>With all other conditions the same.</t>
  </si>
  <si>
    <t xml:space="preserve">     Bid---&gt;</t>
  </si>
  <si>
    <t xml:space="preserve">Breeding Costs </t>
  </si>
  <si>
    <t>Bid Price for Beef Cows Including Financing Implications</t>
  </si>
  <si>
    <t>Tax implications not included.</t>
  </si>
  <si>
    <t>Steer Weight - Lb.</t>
  </si>
  <si>
    <t>Heifer Weight - Lb.</t>
  </si>
  <si>
    <t>Cull Cow Sale Weight - Lb.</t>
  </si>
  <si>
    <t>See Sheet 2.</t>
  </si>
  <si>
    <t>*Breeding Female is reflected in the salvage value  included in the investment calculation in sheet 1.</t>
  </si>
  <si>
    <t>*Comments regarding this investment.</t>
  </si>
  <si>
    <t>Bid Price or Cost Basis in Cow</t>
  </si>
  <si>
    <t>Cow Salvage Value When Sold</t>
  </si>
  <si>
    <t>Calving Opportunities -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</si>
</sst>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.00_);\(0.00\)"/>
    <numFmt numFmtId="165" formatCode="0_);\(0\)"/>
    <numFmt numFmtId="166" formatCode="0.000"/>
    <numFmt numFmtId="167" formatCode="[$-409]d\-mmm\-yy;@"/>
    <numFmt numFmtId="168" formatCode="#,##0;[Red]#,##0"/>
    <numFmt numFmtId="169" formatCode="#,##0.0;[Red]#,##0.0"/>
    <numFmt numFmtId="170" formatCode="&quot;$&quot;#,##0.00"/>
    <numFmt numFmtId="171" formatCode="&quot;$&quot;#,##0"/>
    <numFmt numFmtId="172" formatCode="0.0"/>
  </numFmts>
  <fonts count="25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9"/>
      <name val="Times New Roman"/>
      <family val="1"/>
    </font>
    <font>
      <b/>
      <sz val="14"/>
      <color indexed="8"/>
      <name val="Times New Roman"/>
      <family val="1"/>
    </font>
    <font>
      <sz val="12"/>
      <color indexed="3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33CC"/>
      <name val="Arial"/>
      <family val="2"/>
    </font>
    <font>
      <b/>
      <sz val="11"/>
      <name val="Arial"/>
      <family val="2"/>
    </font>
    <font>
      <sz val="12"/>
      <color indexed="39"/>
      <name val="Arial"/>
      <family val="2"/>
    </font>
    <font>
      <b/>
      <sz val="14"/>
      <color indexed="12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6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/>
    <xf numFmtId="9" fontId="10" fillId="0" borderId="0" xfId="1" applyFont="1"/>
    <xf numFmtId="0" fontId="10" fillId="0" borderId="0" xfId="0" applyFont="1"/>
    <xf numFmtId="1" fontId="9" fillId="0" borderId="0" xfId="0" applyNumberFormat="1" applyFont="1" applyProtection="1">
      <protection locked="0"/>
    </xf>
    <xf numFmtId="6" fontId="10" fillId="0" borderId="0" xfId="0" applyNumberFormat="1" applyFont="1" applyProtection="1"/>
    <xf numFmtId="0" fontId="10" fillId="0" borderId="0" xfId="0" applyFont="1" applyProtection="1">
      <protection locked="0"/>
    </xf>
    <xf numFmtId="6" fontId="14" fillId="0" borderId="0" xfId="0" applyNumberFormat="1" applyFont="1"/>
    <xf numFmtId="0" fontId="14" fillId="0" borderId="0" xfId="0" applyFont="1"/>
    <xf numFmtId="0" fontId="13" fillId="0" borderId="0" xfId="0" applyFont="1"/>
    <xf numFmtId="0" fontId="16" fillId="0" borderId="0" xfId="0" applyFont="1"/>
    <xf numFmtId="9" fontId="14" fillId="0" borderId="0" xfId="1" applyFont="1"/>
    <xf numFmtId="170" fontId="14" fillId="0" borderId="0" xfId="0" applyNumberFormat="1" applyFont="1"/>
    <xf numFmtId="8" fontId="14" fillId="0" borderId="0" xfId="0" applyNumberFormat="1" applyFont="1"/>
    <xf numFmtId="169" fontId="9" fillId="0" borderId="0" xfId="0" applyNumberFormat="1" applyFont="1" applyProtection="1">
      <protection locked="0"/>
    </xf>
    <xf numFmtId="168" fontId="9" fillId="0" borderId="0" xfId="0" applyNumberFormat="1" applyFont="1" applyProtection="1">
      <protection locked="0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4" fillId="0" borderId="0" xfId="1" applyFont="1" applyProtection="1">
      <protection locked="0"/>
    </xf>
    <xf numFmtId="0" fontId="14" fillId="0" borderId="0" xfId="0" applyFont="1" applyProtection="1"/>
    <xf numFmtId="171" fontId="0" fillId="0" borderId="0" xfId="0" applyNumberForma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Protection="1">
      <protection locked="0"/>
    </xf>
    <xf numFmtId="0" fontId="14" fillId="2" borderId="0" xfId="0" applyFont="1" applyFill="1"/>
    <xf numFmtId="0" fontId="14" fillId="0" borderId="0" xfId="0" applyFont="1" applyProtection="1">
      <protection locked="0"/>
    </xf>
    <xf numFmtId="0" fontId="20" fillId="0" borderId="0" xfId="0" applyFont="1" applyAlignment="1">
      <alignment horizontal="center"/>
    </xf>
    <xf numFmtId="6" fontId="14" fillId="0" borderId="0" xfId="0" applyNumberFormat="1" applyFont="1" applyProtection="1"/>
    <xf numFmtId="9" fontId="0" fillId="0" borderId="0" xfId="0" applyNumberFormat="1"/>
    <xf numFmtId="0" fontId="14" fillId="0" borderId="0" xfId="0" applyFont="1" applyAlignment="1">
      <alignment horizontal="center"/>
    </xf>
    <xf numFmtId="0" fontId="10" fillId="0" borderId="0" xfId="0" applyFont="1" applyProtection="1"/>
    <xf numFmtId="0" fontId="21" fillId="0" borderId="0" xfId="0" applyFont="1" applyProtection="1">
      <protection locked="0"/>
    </xf>
    <xf numFmtId="0" fontId="11" fillId="2" borderId="0" xfId="0" applyFont="1" applyFill="1"/>
    <xf numFmtId="6" fontId="11" fillId="2" borderId="0" xfId="0" applyNumberFormat="1" applyFont="1" applyFill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Protection="1">
      <protection locked="0"/>
    </xf>
    <xf numFmtId="6" fontId="10" fillId="0" borderId="0" xfId="0" applyNumberFormat="1" applyFont="1" applyProtection="1">
      <protection locked="0"/>
    </xf>
    <xf numFmtId="1" fontId="19" fillId="0" borderId="0" xfId="0" applyNumberFormat="1" applyFont="1" applyProtection="1">
      <protection locked="0"/>
    </xf>
    <xf numFmtId="6" fontId="19" fillId="0" borderId="0" xfId="0" applyNumberFormat="1" applyFont="1" applyProtection="1">
      <protection locked="0"/>
    </xf>
    <xf numFmtId="172" fontId="19" fillId="0" borderId="0" xfId="0" applyNumberFormat="1" applyFont="1" applyProtection="1">
      <protection locked="0"/>
    </xf>
    <xf numFmtId="8" fontId="19" fillId="0" borderId="0" xfId="0" applyNumberFormat="1" applyFont="1" applyProtection="1"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6" fontId="1" fillId="0" borderId="0" xfId="0" applyNumberFormat="1" applyFont="1" applyProtection="1"/>
    <xf numFmtId="8" fontId="14" fillId="2" borderId="0" xfId="0" applyNumberFormat="1" applyFont="1" applyFill="1"/>
    <xf numFmtId="170" fontId="14" fillId="2" borderId="0" xfId="0" applyNumberFormat="1" applyFont="1" applyFill="1"/>
    <xf numFmtId="0" fontId="1" fillId="0" borderId="0" xfId="0" applyFont="1" applyProtection="1"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5" fillId="3" borderId="0" xfId="0" applyNumberFormat="1" applyFont="1" applyFill="1"/>
    <xf numFmtId="0" fontId="0" fillId="3" borderId="0" xfId="0" applyFill="1"/>
    <xf numFmtId="0" fontId="18" fillId="3" borderId="8" xfId="0" applyNumberFormat="1" applyFont="1" applyFill="1" applyBorder="1" applyAlignment="1" applyProtection="1">
      <alignment horizontal="left"/>
      <protection locked="0"/>
    </xf>
    <xf numFmtId="0" fontId="18" fillId="3" borderId="9" xfId="0" applyNumberFormat="1" applyFont="1" applyFill="1" applyBorder="1" applyAlignment="1" applyProtection="1">
      <alignment horizontal="left"/>
      <protection locked="0"/>
    </xf>
    <xf numFmtId="0" fontId="18" fillId="3" borderId="10" xfId="0" applyNumberFormat="1" applyFont="1" applyFill="1" applyBorder="1" applyAlignment="1" applyProtection="1">
      <alignment horizontal="left"/>
      <protection locked="0"/>
    </xf>
    <xf numFmtId="167" fontId="5" fillId="3" borderId="0" xfId="0" applyNumberFormat="1" applyFont="1" applyFill="1"/>
    <xf numFmtId="0" fontId="3" fillId="3" borderId="0" xfId="0" applyNumberFormat="1" applyFont="1" applyFill="1"/>
    <xf numFmtId="0" fontId="6" fillId="3" borderId="0" xfId="0" applyNumberFormat="1" applyFont="1" applyFill="1" applyBorder="1" applyAlignment="1">
      <alignment horizontal="center"/>
    </xf>
    <xf numFmtId="37" fontId="17" fillId="3" borderId="5" xfId="0" applyNumberFormat="1" applyFont="1" applyFill="1" applyBorder="1" applyProtection="1">
      <protection locked="0"/>
    </xf>
    <xf numFmtId="37" fontId="4" fillId="3" borderId="5" xfId="0" applyNumberFormat="1" applyFont="1" applyFill="1" applyBorder="1" applyProtection="1">
      <protection locked="0"/>
    </xf>
    <xf numFmtId="164" fontId="4" fillId="3" borderId="6" xfId="0" applyNumberFormat="1" applyFont="1" applyFill="1" applyBorder="1" applyProtection="1">
      <protection locked="0"/>
    </xf>
    <xf numFmtId="8" fontId="6" fillId="3" borderId="0" xfId="0" applyNumberFormat="1" applyFont="1" applyFill="1" applyBorder="1"/>
    <xf numFmtId="164" fontId="4" fillId="3" borderId="0" xfId="0" applyNumberFormat="1" applyFont="1" applyFill="1" applyBorder="1" applyProtection="1">
      <protection locked="0"/>
    </xf>
    <xf numFmtId="5" fontId="22" fillId="3" borderId="5" xfId="0" applyNumberFormat="1" applyFont="1" applyFill="1" applyBorder="1" applyProtection="1">
      <protection locked="0"/>
    </xf>
    <xf numFmtId="5" fontId="0" fillId="3" borderId="0" xfId="0" applyNumberFormat="1" applyFill="1"/>
    <xf numFmtId="0" fontId="24" fillId="3" borderId="0" xfId="0" applyNumberFormat="1" applyFont="1" applyFill="1"/>
    <xf numFmtId="5" fontId="4" fillId="3" borderId="1" xfId="0" applyNumberFormat="1" applyFont="1" applyFill="1" applyBorder="1"/>
    <xf numFmtId="0" fontId="23" fillId="3" borderId="0" xfId="0" applyNumberFormat="1" applyFont="1" applyFill="1"/>
    <xf numFmtId="165" fontId="4" fillId="3" borderId="7" xfId="0" applyNumberFormat="1" applyFont="1" applyFill="1" applyBorder="1" applyProtection="1">
      <protection locked="0"/>
    </xf>
    <xf numFmtId="0" fontId="6" fillId="3" borderId="0" xfId="0" applyNumberFormat="1" applyFont="1" applyFill="1"/>
    <xf numFmtId="165" fontId="7" fillId="3" borderId="2" xfId="0" applyNumberFormat="1" applyFont="1" applyFill="1" applyBorder="1" applyProtection="1">
      <protection locked="0"/>
    </xf>
    <xf numFmtId="0" fontId="3" fillId="3" borderId="3" xfId="0" applyNumberFormat="1" applyFont="1" applyFill="1" applyBorder="1" applyAlignment="1">
      <alignment horizontal="center"/>
    </xf>
    <xf numFmtId="9" fontId="6" fillId="3" borderId="0" xfId="1" applyFont="1" applyFill="1"/>
    <xf numFmtId="0" fontId="3" fillId="3" borderId="0" xfId="0" applyNumberFormat="1" applyFont="1" applyFill="1" applyAlignment="1">
      <alignment horizontal="right"/>
    </xf>
    <xf numFmtId="165" fontId="4" fillId="3" borderId="5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/>
    <xf numFmtId="5" fontId="4" fillId="3" borderId="5" xfId="0" applyNumberFormat="1" applyFont="1" applyFill="1" applyBorder="1" applyProtection="1">
      <protection locked="0"/>
    </xf>
    <xf numFmtId="171" fontId="5" fillId="3" borderId="0" xfId="0" applyNumberFormat="1" applyFont="1" applyFill="1"/>
    <xf numFmtId="171" fontId="6" fillId="3" borderId="0" xfId="0" applyNumberFormat="1" applyFont="1" applyFill="1"/>
    <xf numFmtId="5" fontId="5" fillId="3" borderId="0" xfId="0" applyNumberFormat="1" applyFont="1" applyFill="1"/>
    <xf numFmtId="6" fontId="5" fillId="3" borderId="0" xfId="0" applyNumberFormat="1" applyFont="1" applyFill="1"/>
    <xf numFmtId="0" fontId="5" fillId="3" borderId="3" xfId="0" applyNumberFormat="1" applyFont="1" applyFill="1" applyBorder="1"/>
    <xf numFmtId="0" fontId="3" fillId="3" borderId="3" xfId="0" applyNumberFormat="1" applyFont="1" applyFill="1" applyBorder="1"/>
    <xf numFmtId="164" fontId="4" fillId="3" borderId="5" xfId="0" applyNumberFormat="1" applyFont="1" applyFill="1" applyBorder="1" applyProtection="1">
      <protection locked="0"/>
    </xf>
    <xf numFmtId="0" fontId="5" fillId="3" borderId="0" xfId="0" applyNumberFormat="1" applyFont="1" applyFill="1" applyAlignment="1">
      <alignment horizontal="center"/>
    </xf>
    <xf numFmtId="7" fontId="3" fillId="3" borderId="0" xfId="0" applyNumberFormat="1" applyFont="1" applyFill="1"/>
    <xf numFmtId="165" fontId="4" fillId="3" borderId="5" xfId="0" applyNumberFormat="1" applyFont="1" applyFill="1" applyBorder="1" applyProtection="1">
      <protection locked="0"/>
    </xf>
    <xf numFmtId="7" fontId="5" fillId="3" borderId="0" xfId="0" applyNumberFormat="1" applyFont="1" applyFill="1"/>
    <xf numFmtId="5" fontId="3" fillId="3" borderId="0" xfId="0" applyNumberFormat="1" applyFont="1" applyFill="1"/>
    <xf numFmtId="0" fontId="3" fillId="3" borderId="4" xfId="0" applyNumberFormat="1" applyFont="1" applyFill="1" applyBorder="1"/>
    <xf numFmtId="7" fontId="5" fillId="3" borderId="4" xfId="0" applyNumberFormat="1" applyFont="1" applyFill="1" applyBorder="1"/>
    <xf numFmtId="5" fontId="3" fillId="3" borderId="4" xfId="0" applyNumberFormat="1" applyFont="1" applyFill="1" applyBorder="1"/>
    <xf numFmtId="2" fontId="5" fillId="3" borderId="0" xfId="0" applyNumberFormat="1" applyFont="1" applyFill="1"/>
    <xf numFmtId="0" fontId="3" fillId="3" borderId="4" xfId="0" applyNumberFormat="1" applyFont="1" applyFill="1" applyBorder="1" applyAlignment="1">
      <alignment horizontal="right"/>
    </xf>
    <xf numFmtId="0" fontId="3" fillId="3" borderId="4" xfId="0" applyNumberFormat="1" applyFont="1" applyFill="1" applyBorder="1" applyAlignment="1">
      <alignment horizontal="center"/>
    </xf>
    <xf numFmtId="0" fontId="5" fillId="3" borderId="11" xfId="0" applyNumberFormat="1" applyFont="1" applyFill="1" applyBorder="1"/>
    <xf numFmtId="0" fontId="3" fillId="3" borderId="0" xfId="0" applyNumberFormat="1" applyFont="1" applyFill="1" applyBorder="1"/>
    <xf numFmtId="0" fontId="5" fillId="3" borderId="0" xfId="0" applyNumberFormat="1" applyFont="1" applyFill="1" applyBorder="1"/>
    <xf numFmtId="166" fontId="5" fillId="3" borderId="0" xfId="0" applyNumberFormat="1" applyFont="1" applyFill="1"/>
    <xf numFmtId="9" fontId="5" fillId="3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1</xdr:row>
      <xdr:rowOff>108857</xdr:rowOff>
    </xdr:from>
    <xdr:to>
      <xdr:col>12</xdr:col>
      <xdr:colOff>103414</xdr:colOff>
      <xdr:row>3</xdr:row>
      <xdr:rowOff>73478</xdr:rowOff>
    </xdr:to>
    <xdr:pic>
      <xdr:nvPicPr>
        <xdr:cNvPr id="4" name="Picture 3" descr="TAMAgEX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0" y="332014"/>
          <a:ext cx="1123043" cy="41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6"/>
  <sheetViews>
    <sheetView tabSelected="1" topLeftCell="A16" workbookViewId="0">
      <selection activeCell="F46" sqref="F46"/>
    </sheetView>
  </sheetViews>
  <sheetFormatPr defaultRowHeight="15" x14ac:dyDescent="0.2"/>
  <cols>
    <col min="1" max="1" width="2.5546875" style="59" customWidth="1"/>
    <col min="2" max="2" width="24.109375" style="59" customWidth="1"/>
    <col min="3" max="6" width="8.88671875" style="59"/>
    <col min="7" max="7" width="10" style="59" customWidth="1"/>
    <col min="8" max="9" width="8.88671875" style="59"/>
    <col min="10" max="10" width="12.88671875" style="59" customWidth="1"/>
    <col min="11" max="11" width="3.44140625" style="59" customWidth="1"/>
    <col min="12" max="16384" width="8.88671875" style="59"/>
  </cols>
  <sheetData>
    <row r="1" spans="2:13" ht="18.75" x14ac:dyDescent="0.3">
      <c r="B1" s="56" t="s">
        <v>101</v>
      </c>
      <c r="C1" s="56"/>
      <c r="D1" s="56"/>
      <c r="E1" s="56"/>
      <c r="F1" s="56"/>
      <c r="G1" s="56"/>
      <c r="H1" s="56"/>
      <c r="I1" s="56"/>
      <c r="J1" s="57"/>
      <c r="K1" s="58"/>
      <c r="L1" s="58"/>
      <c r="M1" s="58"/>
    </row>
    <row r="2" spans="2:13" ht="20.100000000000001" customHeight="1" x14ac:dyDescent="0.25">
      <c r="G2" s="57"/>
      <c r="H2" s="57"/>
      <c r="I2" s="57"/>
      <c r="J2" s="57"/>
      <c r="K2" s="58"/>
      <c r="L2" s="58"/>
      <c r="M2" s="58"/>
    </row>
    <row r="3" spans="2:13" ht="15.75" x14ac:dyDescent="0.25">
      <c r="B3" s="60" t="s">
        <v>90</v>
      </c>
      <c r="C3" s="61"/>
      <c r="D3" s="61"/>
      <c r="E3" s="61"/>
      <c r="F3" s="62"/>
      <c r="G3" s="58" t="s">
        <v>28</v>
      </c>
      <c r="H3" s="63">
        <f ca="1">NOW()</f>
        <v>44341.598746064818</v>
      </c>
      <c r="I3" s="58"/>
      <c r="J3" s="58"/>
      <c r="K3" s="58"/>
      <c r="L3" s="58"/>
      <c r="M3" s="58"/>
    </row>
    <row r="4" spans="2:13" ht="15.75" x14ac:dyDescent="0.25">
      <c r="B4" s="64"/>
      <c r="C4" s="58"/>
      <c r="D4" s="58"/>
      <c r="E4" s="58"/>
      <c r="F4" s="58"/>
      <c r="G4" s="58"/>
      <c r="H4" s="58"/>
      <c r="I4" s="58"/>
      <c r="J4" s="65" t="s">
        <v>1</v>
      </c>
      <c r="K4" s="58"/>
      <c r="M4" s="58"/>
    </row>
    <row r="5" spans="2:13" ht="15.75" x14ac:dyDescent="0.25">
      <c r="B5" s="64" t="s">
        <v>103</v>
      </c>
      <c r="C5" s="66">
        <v>550</v>
      </c>
      <c r="D5" s="58"/>
      <c r="F5" s="58"/>
      <c r="G5" s="58"/>
      <c r="J5" s="65" t="s">
        <v>55</v>
      </c>
      <c r="K5" s="58"/>
      <c r="L5" s="58"/>
      <c r="M5" s="58"/>
    </row>
    <row r="6" spans="2:13" ht="15.75" x14ac:dyDescent="0.25">
      <c r="B6" s="64" t="s">
        <v>104</v>
      </c>
      <c r="C6" s="67">
        <v>500</v>
      </c>
      <c r="D6" s="58"/>
      <c r="E6" s="64" t="s">
        <v>3</v>
      </c>
      <c r="F6" s="58"/>
      <c r="G6" s="58"/>
      <c r="H6" s="68">
        <v>5</v>
      </c>
      <c r="I6" s="58" t="s">
        <v>0</v>
      </c>
      <c r="J6" s="69">
        <f>J51</f>
        <v>-241.71693677562519</v>
      </c>
      <c r="K6" s="58"/>
      <c r="L6" s="58" t="s">
        <v>87</v>
      </c>
      <c r="M6" s="58"/>
    </row>
    <row r="7" spans="2:13" ht="15.75" x14ac:dyDescent="0.25">
      <c r="B7" s="64" t="s">
        <v>105</v>
      </c>
      <c r="C7" s="67">
        <v>1100</v>
      </c>
      <c r="D7" s="58"/>
      <c r="E7" s="64"/>
      <c r="F7" s="58"/>
      <c r="G7" s="58"/>
      <c r="H7" s="70"/>
      <c r="I7" s="58"/>
      <c r="J7" s="69"/>
      <c r="K7" s="58"/>
      <c r="L7" s="58"/>
      <c r="M7" s="58"/>
    </row>
    <row r="8" spans="2:13" ht="18.75" x14ac:dyDescent="0.3">
      <c r="B8" s="64" t="s">
        <v>97</v>
      </c>
      <c r="C8" s="71">
        <v>1300</v>
      </c>
      <c r="D8" s="58"/>
      <c r="F8" s="58"/>
      <c r="G8" s="58"/>
      <c r="H8" s="58"/>
      <c r="I8" s="58" t="s">
        <v>99</v>
      </c>
      <c r="J8" s="72">
        <f>C8</f>
        <v>1300</v>
      </c>
      <c r="K8" s="58"/>
      <c r="L8" s="73" t="s">
        <v>97</v>
      </c>
      <c r="M8" s="58"/>
    </row>
    <row r="9" spans="2:13" ht="15.75" x14ac:dyDescent="0.25">
      <c r="B9" s="64" t="s">
        <v>2</v>
      </c>
      <c r="C9" s="74"/>
      <c r="D9" s="58"/>
      <c r="E9" s="64"/>
      <c r="F9" s="58"/>
      <c r="G9" s="58"/>
      <c r="H9" s="58"/>
      <c r="I9" s="58"/>
      <c r="J9" s="75" t="str">
        <f>IF(J6&gt;0,"Can Bid More","Bid Too High")</f>
        <v>Bid Too High</v>
      </c>
      <c r="K9" s="58"/>
      <c r="L9" s="75" t="s">
        <v>98</v>
      </c>
      <c r="M9" s="58"/>
    </row>
    <row r="10" spans="2:13" ht="15.75" x14ac:dyDescent="0.25">
      <c r="B10" s="64" t="s">
        <v>111</v>
      </c>
      <c r="C10" s="76">
        <v>7</v>
      </c>
      <c r="D10" s="58"/>
      <c r="F10" s="58"/>
      <c r="G10" s="58"/>
      <c r="J10" s="58"/>
      <c r="K10" s="58"/>
      <c r="L10" s="58" t="s">
        <v>88</v>
      </c>
      <c r="M10" s="58"/>
    </row>
    <row r="11" spans="2:13" ht="15.75" x14ac:dyDescent="0.25">
      <c r="B11" s="77" t="s">
        <v>4</v>
      </c>
      <c r="C11" s="78">
        <v>2021</v>
      </c>
      <c r="D11" s="79">
        <f>IF(C$10&gt;=2,(C11+1),"")</f>
        <v>2022</v>
      </c>
      <c r="E11" s="79">
        <f>IF(C$10&gt;=3,D11+1,"")</f>
        <v>2023</v>
      </c>
      <c r="F11" s="79">
        <f>IF(C$10&gt;=4,E11+1,"")</f>
        <v>2024</v>
      </c>
      <c r="G11" s="79">
        <f>IF(C$10&gt;=5,F11+1,"")</f>
        <v>2025</v>
      </c>
      <c r="H11" s="79">
        <f>IF(C$10&gt;=6,G11+1,"")</f>
        <v>2026</v>
      </c>
      <c r="I11" s="79">
        <f>IF(C$10&gt;=7,H11+1,"")</f>
        <v>2027</v>
      </c>
      <c r="J11" s="58"/>
      <c r="K11" s="58"/>
      <c r="L11" s="80">
        <f>1/C10</f>
        <v>0.14285714285714285</v>
      </c>
      <c r="M11" s="58" t="s">
        <v>41</v>
      </c>
    </row>
    <row r="12" spans="2:13" ht="15.75" x14ac:dyDescent="0.25">
      <c r="B12" s="81"/>
      <c r="C12" s="79" t="str">
        <f>IF(C10&gt;=1,"Year 1","")</f>
        <v>Year 1</v>
      </c>
      <c r="D12" s="79" t="str">
        <f>IF(C$10&gt;=2,"Year 2","")</f>
        <v>Year 2</v>
      </c>
      <c r="E12" s="79" t="str">
        <f>IF(C$10&gt;=3,"Year 3","")</f>
        <v>Year 3</v>
      </c>
      <c r="F12" s="79" t="str">
        <f>IF(C$10&gt;=4,"Year 4","")</f>
        <v>Year 4</v>
      </c>
      <c r="G12" s="79" t="str">
        <f>IF(C$10&gt;=5,"Year 5","")</f>
        <v>Year 5</v>
      </c>
      <c r="H12" s="79" t="str">
        <f>IF(C$10&gt;=6,"Year 6","")</f>
        <v>Year 6</v>
      </c>
      <c r="I12" s="79" t="str">
        <f>IF(C$10&gt;=7,"Year 7","")</f>
        <v>Year 7</v>
      </c>
      <c r="J12" s="58"/>
      <c r="K12" s="58"/>
      <c r="L12" s="58" t="s">
        <v>36</v>
      </c>
      <c r="M12" s="58"/>
    </row>
    <row r="13" spans="2:13" ht="15.75" x14ac:dyDescent="0.25">
      <c r="B13" s="64" t="s">
        <v>5</v>
      </c>
      <c r="C13" s="82">
        <v>95</v>
      </c>
      <c r="D13" s="82">
        <v>88</v>
      </c>
      <c r="E13" s="82">
        <v>88</v>
      </c>
      <c r="F13" s="82">
        <v>88</v>
      </c>
      <c r="G13" s="82">
        <v>88</v>
      </c>
      <c r="H13" s="82">
        <v>88</v>
      </c>
      <c r="I13" s="82">
        <v>88</v>
      </c>
      <c r="J13" s="58"/>
      <c r="K13" s="58"/>
      <c r="L13" s="83">
        <f>AVERAGE(C13:I13)</f>
        <v>89</v>
      </c>
      <c r="M13" s="58" t="s">
        <v>0</v>
      </c>
    </row>
    <row r="14" spans="2:13" ht="15.75" x14ac:dyDescent="0.25">
      <c r="B14" s="64" t="s">
        <v>6</v>
      </c>
      <c r="C14" s="84">
        <v>160</v>
      </c>
      <c r="D14" s="84">
        <v>180</v>
      </c>
      <c r="E14" s="84">
        <v>190</v>
      </c>
      <c r="F14" s="84">
        <v>190</v>
      </c>
      <c r="G14" s="84">
        <v>190</v>
      </c>
      <c r="H14" s="84">
        <v>190</v>
      </c>
      <c r="I14" s="84">
        <v>190</v>
      </c>
      <c r="J14" s="58"/>
      <c r="K14" s="58"/>
      <c r="L14" s="85"/>
      <c r="M14" s="58"/>
    </row>
    <row r="15" spans="2:13" ht="15.75" x14ac:dyDescent="0.25">
      <c r="B15" s="64" t="s">
        <v>7</v>
      </c>
      <c r="C15" s="84">
        <v>140</v>
      </c>
      <c r="D15" s="84">
        <v>160</v>
      </c>
      <c r="E15" s="84">
        <v>170</v>
      </c>
      <c r="F15" s="84">
        <v>170</v>
      </c>
      <c r="G15" s="84">
        <v>170</v>
      </c>
      <c r="H15" s="84">
        <v>170</v>
      </c>
      <c r="I15" s="84">
        <v>170</v>
      </c>
      <c r="J15" s="58"/>
      <c r="K15" s="58"/>
      <c r="L15" s="85"/>
      <c r="M15" s="58"/>
    </row>
    <row r="16" spans="2:13" ht="15.75" x14ac:dyDescent="0.25">
      <c r="B16" s="64" t="s">
        <v>8</v>
      </c>
      <c r="C16" s="84">
        <v>65</v>
      </c>
      <c r="D16" s="84">
        <v>65</v>
      </c>
      <c r="E16" s="84">
        <v>65</v>
      </c>
      <c r="F16" s="84">
        <v>65</v>
      </c>
      <c r="G16" s="84">
        <v>65</v>
      </c>
      <c r="H16" s="84">
        <v>65</v>
      </c>
      <c r="I16" s="84">
        <v>65</v>
      </c>
      <c r="J16" s="58"/>
      <c r="K16" s="58"/>
      <c r="L16" s="86"/>
      <c r="M16" s="58"/>
    </row>
    <row r="17" spans="2:13" ht="15.75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2:13" ht="15.75" x14ac:dyDescent="0.25">
      <c r="B18" s="64" t="s">
        <v>9</v>
      </c>
      <c r="C18" s="87">
        <f t="shared" ref="C18:I18" si="0">IF(AND($C$10&gt;0,C$13&gt;0),ROUND(((($C$5*C14)+($C$6*C15))/100)/2*C$13*0.01,0),0)</f>
        <v>751</v>
      </c>
      <c r="D18" s="87">
        <f t="shared" si="0"/>
        <v>788</v>
      </c>
      <c r="E18" s="87">
        <f t="shared" si="0"/>
        <v>834</v>
      </c>
      <c r="F18" s="87">
        <f t="shared" si="0"/>
        <v>834</v>
      </c>
      <c r="G18" s="87">
        <f t="shared" si="0"/>
        <v>834</v>
      </c>
      <c r="H18" s="87">
        <f t="shared" si="0"/>
        <v>834</v>
      </c>
      <c r="I18" s="87">
        <f t="shared" si="0"/>
        <v>834</v>
      </c>
      <c r="J18" s="58"/>
      <c r="K18" s="58"/>
      <c r="L18" s="58"/>
      <c r="M18" s="58"/>
    </row>
    <row r="19" spans="2:13" ht="15.75" x14ac:dyDescent="0.25">
      <c r="B19" s="64"/>
      <c r="C19" s="87"/>
      <c r="D19" s="87"/>
      <c r="E19" s="87"/>
      <c r="F19" s="87"/>
      <c r="G19" s="87"/>
      <c r="H19" s="87"/>
      <c r="I19" s="87"/>
      <c r="J19" s="58"/>
      <c r="K19" s="58"/>
      <c r="L19" s="58"/>
      <c r="M19" s="58"/>
    </row>
    <row r="20" spans="2:13" ht="15.75" x14ac:dyDescent="0.25">
      <c r="B20" s="77" t="s">
        <v>106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 t="s">
        <v>89</v>
      </c>
    </row>
    <row r="21" spans="2:13" ht="15.75" x14ac:dyDescent="0.25">
      <c r="B21" s="77" t="s">
        <v>10</v>
      </c>
      <c r="C21" s="84">
        <v>690</v>
      </c>
      <c r="D21" s="84">
        <v>700</v>
      </c>
      <c r="E21" s="84">
        <f>760-50</f>
        <v>710</v>
      </c>
      <c r="F21" s="84">
        <v>720</v>
      </c>
      <c r="G21" s="84">
        <v>730</v>
      </c>
      <c r="H21" s="84">
        <v>740</v>
      </c>
      <c r="I21" s="84">
        <v>750</v>
      </c>
      <c r="J21" s="58"/>
      <c r="L21" s="88">
        <f>'2. Estimated Operating Cost '!F39</f>
        <v>689.88800000000003</v>
      </c>
      <c r="M21" s="58" t="s">
        <v>32</v>
      </c>
    </row>
    <row r="22" spans="2:13" ht="15.75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ht="15.75" x14ac:dyDescent="0.25">
      <c r="B23" s="64" t="s">
        <v>11</v>
      </c>
      <c r="C23" s="87">
        <f>IF(C10&gt;=1,+C18-C21,0)</f>
        <v>61</v>
      </c>
      <c r="D23" s="87">
        <f>IF(C10&gt;=2,+D18-D21,0)</f>
        <v>88</v>
      </c>
      <c r="E23" s="87">
        <f>IF(C10&gt;=3,+E18-E21,0)</f>
        <v>124</v>
      </c>
      <c r="F23" s="87">
        <f>IF(C10&gt;=4,+F18-F21,0)</f>
        <v>114</v>
      </c>
      <c r="G23" s="87">
        <f>IF(C10&gt;=5,+G18-G21,0)</f>
        <v>104</v>
      </c>
      <c r="H23" s="87">
        <f>IF(C10&gt;=6,+H18-H21,0)</f>
        <v>94</v>
      </c>
      <c r="I23" s="87">
        <f>IF(C10&gt;=7,+I18-I21,0)</f>
        <v>84</v>
      </c>
      <c r="J23" s="58"/>
      <c r="K23" s="58"/>
      <c r="L23" s="58"/>
      <c r="M23" s="58"/>
    </row>
    <row r="24" spans="2:13" ht="15.75" x14ac:dyDescent="0.25">
      <c r="C24" s="89"/>
      <c r="D24" s="89"/>
      <c r="E24" s="89"/>
      <c r="F24" s="89"/>
      <c r="G24" s="89"/>
      <c r="H24" s="89"/>
      <c r="I24" s="89"/>
      <c r="J24" s="89"/>
      <c r="K24" s="58"/>
      <c r="L24" s="58"/>
      <c r="M24" s="58"/>
    </row>
    <row r="25" spans="2:13" ht="15.75" x14ac:dyDescent="0.25">
      <c r="B25" s="90" t="s">
        <v>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ht="15.75" x14ac:dyDescent="0.25">
      <c r="B26" s="64" t="s">
        <v>50</v>
      </c>
      <c r="C26" s="91">
        <v>20</v>
      </c>
      <c r="D26" s="92" t="s">
        <v>13</v>
      </c>
      <c r="E26" s="93">
        <f>ROUND(C26*C8*0.01,2)</f>
        <v>260</v>
      </c>
      <c r="F26" s="58" t="s">
        <v>14</v>
      </c>
      <c r="G26" s="58"/>
      <c r="H26" s="58"/>
      <c r="I26" s="58"/>
      <c r="J26" s="58"/>
      <c r="K26" s="58"/>
      <c r="L26" s="58"/>
      <c r="M26" s="58"/>
    </row>
    <row r="27" spans="2:13" ht="15.75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ht="15.75" x14ac:dyDescent="0.25">
      <c r="B28" s="64" t="s">
        <v>51</v>
      </c>
      <c r="C28" s="94">
        <v>5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ht="15.75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ht="15.75" x14ac:dyDescent="0.25">
      <c r="B30" s="64" t="s">
        <v>15</v>
      </c>
      <c r="C30" s="91">
        <v>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ht="15.75" x14ac:dyDescent="0.25">
      <c r="B31" s="58"/>
      <c r="C31" s="58"/>
      <c r="D31" s="58"/>
      <c r="E31" s="58"/>
      <c r="F31" s="58"/>
      <c r="G31" s="58"/>
      <c r="H31" s="58"/>
      <c r="I31" s="58"/>
      <c r="J31" s="79" t="s">
        <v>16</v>
      </c>
      <c r="K31" s="58"/>
      <c r="L31" s="58"/>
      <c r="M31" s="58"/>
    </row>
    <row r="32" spans="2:13" ht="15.75" x14ac:dyDescent="0.25">
      <c r="B32" s="64" t="s">
        <v>17</v>
      </c>
      <c r="C32" s="95">
        <f>IF(C10&lt;1,0,IF(C28&gt;=1,ROUND(IPMT(C30*0.01,1,C28,-(((1-C26*0.01)*C8))),2),0))</f>
        <v>52</v>
      </c>
      <c r="D32" s="95">
        <f>IF(C10&lt;2,0,IF(C28&gt;=2,ROUND(IPMT(C30*0.01,2,C28,-(((1-C26*0.01)*C8))),2),0))</f>
        <v>42.59</v>
      </c>
      <c r="E32" s="95">
        <f>IF(C10&lt;3,0,IF(C28&gt;=3,ROUND(IPMT(C30*0.01,3,C28,-(((1-C26*0.01)*C8))),2),0))</f>
        <v>32.71</v>
      </c>
      <c r="F32" s="95">
        <f>IF(C10&lt;4,0,IF(C28&gt;=4,ROUND(IPMT(C30*0.01,4,C28,-(((1-C26*0.01)*C8))),2),0))</f>
        <v>22.33</v>
      </c>
      <c r="G32" s="95">
        <f>IF(C10&lt;5,0,IF(C28&gt;=5,ROUND(IPMT(C30*0.01,5,C28,-(((1-C26*0.01)*C8))),2),0))</f>
        <v>11.44</v>
      </c>
      <c r="H32" s="95">
        <f>IF(C10&lt;6,0,IF(C28&gt;=6,ROUND(IPMT(C30*0.01,6,C28,-(((1-C26*0.01)*C8))),2),0))</f>
        <v>0</v>
      </c>
      <c r="I32" s="95">
        <f>IF(C10&lt;0,0,IF(C28&gt;=7,ROUND(IPMT(C30*0.01,7,C28,-(((1-C26*0.01)*C8))),2),0))</f>
        <v>0</v>
      </c>
      <c r="J32" s="96">
        <f>SUM(C32:I32)</f>
        <v>161.07</v>
      </c>
      <c r="K32" s="58"/>
      <c r="L32" s="58"/>
      <c r="M32" s="58"/>
    </row>
    <row r="33" spans="2:13" ht="16.5" thickBot="1" x14ac:dyDescent="0.3">
      <c r="B33" s="97" t="s">
        <v>18</v>
      </c>
      <c r="C33" s="98">
        <f>IF(C10=1,SUM(C69:I69),IF(C10&gt;1,+C69,0))</f>
        <v>188.21</v>
      </c>
      <c r="D33" s="98">
        <f>IF(C10=2,SUM(D69:I69),IF(C10&gt;2,+D69,0))</f>
        <v>197.62</v>
      </c>
      <c r="E33" s="98">
        <f>IF(C10=3,SUM(E69:I69),IF(C10&gt;3,+E69,0))</f>
        <v>207.51</v>
      </c>
      <c r="F33" s="98">
        <f>IF(C10=4,SUM(F69:I69),IF(C10&gt;4,+F69,0))</f>
        <v>217.88</v>
      </c>
      <c r="G33" s="98">
        <f>IF(C10=5,SUM(G69:I69),IF(C10&gt;5,+G69,0))</f>
        <v>228.78</v>
      </c>
      <c r="H33" s="98">
        <f>IF(C10=6,SUM(H69:I69),IF(C10&gt;6,+H69,0))</f>
        <v>0</v>
      </c>
      <c r="I33" s="98">
        <f>I69</f>
        <v>0</v>
      </c>
      <c r="J33" s="99">
        <f>SUM(C33:I33)</f>
        <v>1040</v>
      </c>
      <c r="K33" s="58"/>
      <c r="L33" s="58"/>
      <c r="M33" s="58"/>
    </row>
    <row r="34" spans="2:13" ht="16.5" thickTop="1" x14ac:dyDescent="0.25">
      <c r="B34" s="64" t="s">
        <v>19</v>
      </c>
      <c r="C34" s="95">
        <f>IF(C10&gt;=1,+C32+C33,0)</f>
        <v>240.21</v>
      </c>
      <c r="D34" s="95">
        <f>IF(C10&gt;=2,+D32+D33,0)</f>
        <v>240.21</v>
      </c>
      <c r="E34" s="95">
        <f>IF(C10&gt;=3,+E32+E33,0)</f>
        <v>240.22</v>
      </c>
      <c r="F34" s="95">
        <f>IF(C10&gt;=4,+F32+F33,0)</f>
        <v>240.20999999999998</v>
      </c>
      <c r="G34" s="95">
        <f>IF(C10&gt;=5,+G32+G33,0)</f>
        <v>240.22</v>
      </c>
      <c r="H34" s="95">
        <f>IF(C10&gt;=7,+H32+H33,0)</f>
        <v>0</v>
      </c>
      <c r="I34" s="95">
        <f>IF(C10&gt;=7,+I32+I33,0)</f>
        <v>0</v>
      </c>
      <c r="J34" s="58"/>
      <c r="K34" s="58"/>
      <c r="L34" s="58"/>
      <c r="M34" s="58"/>
    </row>
    <row r="35" spans="2:13" ht="15.75" x14ac:dyDescent="0.25">
      <c r="B35" s="64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ht="15.75" x14ac:dyDescent="0.25">
      <c r="B36" s="64"/>
      <c r="C36" s="100"/>
      <c r="D36" s="100"/>
      <c r="E36" s="100"/>
      <c r="F36" s="100"/>
      <c r="G36" s="100"/>
      <c r="H36" s="100"/>
      <c r="I36" s="58"/>
      <c r="J36" s="58"/>
      <c r="K36" s="58"/>
      <c r="L36" s="58"/>
      <c r="M36" s="58"/>
    </row>
    <row r="37" spans="2:13" ht="15.75" x14ac:dyDescent="0.25">
      <c r="B37" s="77" t="s">
        <v>11</v>
      </c>
      <c r="C37" s="95">
        <f>ROUND(+C23-C32,2)</f>
        <v>9</v>
      </c>
      <c r="D37" s="95">
        <f>ROUND(+D23-D32,2)</f>
        <v>45.41</v>
      </c>
      <c r="E37" s="95">
        <f>ROUND(+E23,2)</f>
        <v>124</v>
      </c>
      <c r="F37" s="95">
        <f>ROUND(+F23,2)</f>
        <v>114</v>
      </c>
      <c r="G37" s="95">
        <f>ROUND(+G23,2)</f>
        <v>104</v>
      </c>
      <c r="H37" s="95">
        <f>ROUND(+H23,2)</f>
        <v>94</v>
      </c>
      <c r="I37" s="95">
        <f>ROUND(+I23,2)</f>
        <v>84</v>
      </c>
      <c r="J37" s="58"/>
      <c r="K37" s="58"/>
      <c r="L37" s="58"/>
      <c r="M37" s="58"/>
    </row>
    <row r="38" spans="2:13" ht="15.75" x14ac:dyDescent="0.25">
      <c r="B38" s="64" t="s">
        <v>20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ht="15.75" x14ac:dyDescent="0.25">
      <c r="B39" s="64" t="s">
        <v>21</v>
      </c>
      <c r="C39" s="95">
        <f>IF(C10&gt;=1,+C23,0)</f>
        <v>61</v>
      </c>
      <c r="D39" s="95">
        <f>IF(C10&gt;=2,+D23,0)</f>
        <v>88</v>
      </c>
      <c r="E39" s="95">
        <f>IF(C10&gt;=3,+E23,0)</f>
        <v>124</v>
      </c>
      <c r="F39" s="95">
        <f>IF(C10&gt;=4,+F23,0)</f>
        <v>114</v>
      </c>
      <c r="G39" s="95">
        <f>IF(C10&gt;=5,+G23,0)</f>
        <v>104</v>
      </c>
      <c r="H39" s="95">
        <f>IF(C10&gt;=6,+H23,0)</f>
        <v>94</v>
      </c>
      <c r="I39" s="95">
        <f>IF(C10&gt;=7,+I23,0)</f>
        <v>84</v>
      </c>
      <c r="J39" s="58"/>
      <c r="K39" s="58"/>
      <c r="L39" s="58"/>
      <c r="M39" s="58"/>
    </row>
    <row r="40" spans="2:13" ht="15.75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ht="15.75" x14ac:dyDescent="0.25">
      <c r="B41" s="64" t="s">
        <v>22</v>
      </c>
      <c r="C41" s="95">
        <f t="shared" ref="C41:I41" si="1">C39-C34</f>
        <v>-179.21</v>
      </c>
      <c r="D41" s="95">
        <f t="shared" si="1"/>
        <v>-152.21</v>
      </c>
      <c r="E41" s="95">
        <f t="shared" si="1"/>
        <v>-116.22</v>
      </c>
      <c r="F41" s="95">
        <f t="shared" si="1"/>
        <v>-126.20999999999998</v>
      </c>
      <c r="G41" s="95">
        <f t="shared" si="1"/>
        <v>-136.22</v>
      </c>
      <c r="H41" s="95">
        <f t="shared" si="1"/>
        <v>94</v>
      </c>
      <c r="I41" s="95">
        <f t="shared" si="1"/>
        <v>84</v>
      </c>
      <c r="J41" s="58"/>
      <c r="K41" s="58"/>
      <c r="L41" s="58"/>
      <c r="M41" s="58"/>
    </row>
    <row r="42" spans="2:13" ht="15.75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ht="15.75" x14ac:dyDescent="0.25">
      <c r="B43" s="64" t="s">
        <v>109</v>
      </c>
      <c r="C43" s="95">
        <f>C8</f>
        <v>1300</v>
      </c>
      <c r="D43" s="95"/>
      <c r="E43" s="95"/>
      <c r="F43" s="95"/>
      <c r="G43" s="95"/>
      <c r="H43" s="95"/>
      <c r="I43" s="95"/>
      <c r="J43" s="58"/>
      <c r="K43" s="58"/>
      <c r="L43" s="58"/>
      <c r="M43" s="58"/>
    </row>
    <row r="44" spans="2:13" ht="15.75" x14ac:dyDescent="0.25">
      <c r="B44" s="64" t="s">
        <v>110</v>
      </c>
      <c r="C44" s="95">
        <f>IF(C10=1,ROUND(+C16*$C$7/100,2),0)</f>
        <v>0</v>
      </c>
      <c r="D44" s="95">
        <f>IF(C10=2,ROUND(+D16*$C$7/100,2),0)</f>
        <v>0</v>
      </c>
      <c r="E44" s="95">
        <f>IF(C10=3,ROUND(+E16*$C$7/100,2),0)</f>
        <v>0</v>
      </c>
      <c r="F44" s="95">
        <f>IF(C10=4,ROUND(+F16*$C$7/100,2),0)</f>
        <v>0</v>
      </c>
      <c r="G44" s="95">
        <f>IF(C10=5,ROUND(+G16*$C$7/100,2),0)</f>
        <v>0</v>
      </c>
      <c r="H44" s="95">
        <f>IF(C10=6,ROUND(+H16*$C$7/100,2),0)</f>
        <v>0</v>
      </c>
      <c r="I44" s="95">
        <f>IF(C10=7,ROUND(+I16*$C$7/100,2),0)</f>
        <v>715</v>
      </c>
      <c r="J44" s="58"/>
      <c r="K44" s="58"/>
      <c r="L44" s="58"/>
      <c r="M44" s="58"/>
    </row>
    <row r="45" spans="2:13" ht="15.75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ht="15.75" x14ac:dyDescent="0.25">
      <c r="B46" s="77" t="s">
        <v>3</v>
      </c>
      <c r="C46" s="107">
        <f>H6/100</f>
        <v>0.05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ht="15.75" hidden="1" x14ac:dyDescent="0.25">
      <c r="B47" s="58"/>
      <c r="C47" s="87">
        <v>1</v>
      </c>
      <c r="D47" s="59">
        <v>2</v>
      </c>
      <c r="E47" s="58">
        <v>3</v>
      </c>
      <c r="F47" s="58">
        <v>4</v>
      </c>
      <c r="G47" s="58">
        <v>5</v>
      </c>
      <c r="H47" s="58">
        <v>6</v>
      </c>
      <c r="I47" s="58">
        <v>7</v>
      </c>
      <c r="J47" s="58"/>
      <c r="K47" s="58"/>
      <c r="L47" s="58"/>
      <c r="M47" s="58"/>
    </row>
    <row r="48" spans="2:13" ht="15.75" x14ac:dyDescent="0.25">
      <c r="B48" s="58"/>
      <c r="C48" s="87"/>
      <c r="E48" s="58"/>
      <c r="F48" s="58"/>
      <c r="G48" s="58"/>
      <c r="H48" s="58"/>
      <c r="I48" s="58"/>
      <c r="J48" s="58"/>
      <c r="K48" s="58"/>
      <c r="L48" s="58"/>
      <c r="M48" s="58"/>
    </row>
    <row r="49" spans="2:13" ht="15.75" x14ac:dyDescent="0.25">
      <c r="B49" s="58"/>
      <c r="C49" s="87"/>
      <c r="D49" s="64" t="s">
        <v>23</v>
      </c>
      <c r="E49" s="58"/>
      <c r="F49" s="58"/>
      <c r="G49" s="58"/>
      <c r="H49" s="58"/>
      <c r="I49" s="58"/>
      <c r="J49" s="57" t="s">
        <v>24</v>
      </c>
      <c r="K49" s="58"/>
      <c r="L49" s="58"/>
      <c r="M49" s="58"/>
    </row>
    <row r="50" spans="2:13" ht="16.5" thickBot="1" x14ac:dyDescent="0.3">
      <c r="B50" s="101" t="s">
        <v>25</v>
      </c>
      <c r="C50" s="101" t="s">
        <v>26</v>
      </c>
      <c r="D50" s="101" t="str">
        <f>IF(C10&gt;=2,"Year 2","")</f>
        <v>Year 2</v>
      </c>
      <c r="E50" s="101" t="str">
        <f>IF(C10&gt;=3,"Year 3","")</f>
        <v>Year 3</v>
      </c>
      <c r="F50" s="101" t="str">
        <f>IF(C10&gt;=4,"Year 4","")</f>
        <v>Year 4</v>
      </c>
      <c r="G50" s="101" t="str">
        <f>IF(C10&gt;=5,"Year 5","")</f>
        <v>Year 5</v>
      </c>
      <c r="H50" s="101" t="str">
        <f>IF(C10&gt;=6,"Year 6","")</f>
        <v>Year 6</v>
      </c>
      <c r="I50" s="101" t="str">
        <f>IF(C10&gt;=7,"Year 7","")</f>
        <v>Year 7</v>
      </c>
      <c r="J50" s="102" t="s">
        <v>27</v>
      </c>
      <c r="K50" s="58"/>
      <c r="L50" s="58"/>
      <c r="M50" s="58"/>
    </row>
    <row r="51" spans="2:13" ht="16.5" thickTop="1" x14ac:dyDescent="0.25">
      <c r="B51" s="95">
        <f>IF(C28=0,-C8,-E26)</f>
        <v>-260</v>
      </c>
      <c r="C51" s="95">
        <f>(C41+C44)/((1+$C$46)^C47)</f>
        <v>-170.67619047619047</v>
      </c>
      <c r="D51" s="95">
        <f t="shared" ref="D51:I51" si="2">(D41+D44)/((1+$C$46)^D47)</f>
        <v>-138.05895691609979</v>
      </c>
      <c r="E51" s="95">
        <f t="shared" si="2"/>
        <v>-100.39520570132814</v>
      </c>
      <c r="F51" s="95">
        <f t="shared" si="2"/>
        <v>-103.83327934348341</v>
      </c>
      <c r="G51" s="95">
        <f t="shared" si="2"/>
        <v>-106.73193439633347</v>
      </c>
      <c r="H51" s="95">
        <f t="shared" si="2"/>
        <v>70.144247283843001</v>
      </c>
      <c r="I51" s="95">
        <f t="shared" si="2"/>
        <v>567.83438277396704</v>
      </c>
      <c r="J51" s="95">
        <f>SUM(B72:I72)</f>
        <v>-241.71693677562519</v>
      </c>
      <c r="K51" s="58"/>
      <c r="L51" s="58"/>
      <c r="M51" s="58"/>
    </row>
    <row r="52" spans="2:13" ht="8.1" customHeight="1" x14ac:dyDescent="0.25">
      <c r="B52" s="103"/>
      <c r="C52" s="103"/>
      <c r="D52" s="103"/>
      <c r="E52" s="103"/>
      <c r="F52" s="103"/>
      <c r="G52" s="103"/>
      <c r="H52" s="103"/>
      <c r="I52" s="103"/>
      <c r="J52" s="103"/>
      <c r="K52" s="58"/>
      <c r="L52" s="58"/>
      <c r="M52" s="58"/>
    </row>
    <row r="53" spans="2:13" ht="15.75" x14ac:dyDescent="0.25">
      <c r="B53" s="104" t="s">
        <v>108</v>
      </c>
      <c r="C53" s="105"/>
      <c r="D53" s="105"/>
      <c r="E53" s="105"/>
      <c r="F53" s="105"/>
      <c r="G53" s="105"/>
      <c r="H53" s="105"/>
      <c r="I53" s="105"/>
      <c r="J53" s="105"/>
      <c r="K53" s="58"/>
      <c r="L53" s="58"/>
      <c r="M53" s="58"/>
    </row>
    <row r="54" spans="2:13" ht="15.75" x14ac:dyDescent="0.25">
      <c r="B54" s="64" t="str">
        <f>IF(J51&lt;0,"The negative net present value indicates that the price of $"&amp;FIXED(C8,0,TRUE)&amp;" per head is too high.","The positive net present value indicates this is an economically feasible investment.")</f>
        <v>The negative net present value indicates that the price of $1300 per head is too high.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ht="15.75" x14ac:dyDescent="0.25">
      <c r="B55" s="64" t="str">
        <f>"This investment has an internal rate of return of "&amp;FIXED(B64,1,TRUE)&amp;"%."</f>
        <v>This investment has an internal rate of return of -6.4%.</v>
      </c>
      <c r="C55" s="58"/>
      <c r="D55" s="58"/>
      <c r="E55" s="75" t="s">
        <v>102</v>
      </c>
      <c r="F55" s="58"/>
      <c r="G55" s="58"/>
      <c r="H55" s="58"/>
      <c r="I55" s="58"/>
      <c r="J55" s="58"/>
      <c r="K55" s="58"/>
      <c r="L55" s="58"/>
      <c r="M55" s="58"/>
    </row>
    <row r="56" spans="2:13" ht="15.75" x14ac:dyDescent="0.25">
      <c r="B56" s="64" t="str">
        <f>IF(B62="No","This investment does not pay back over this planning horizon",C62)</f>
        <v>This investment does not pay back over this planning horizon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ht="15.75" x14ac:dyDescent="0.25">
      <c r="B57" s="64" t="str">
        <f>IF(B66&lt;&gt;"feasible",C66,"The positive cash flows across the planning horizon indicate that this investment is financially feasible.")</f>
        <v>This investment may not be financially feasible due to negative cash flow in year one.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ht="15.75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ht="15.75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ht="15.75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ht="15.75" x14ac:dyDescent="0.25">
      <c r="B61" s="89" t="s">
        <v>29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ht="15.75" x14ac:dyDescent="0.25">
      <c r="B62" s="58" t="str">
        <f>IF(SUM(B51:C51)&gt;0,"one",IF(SUM(B51:D51)&gt;0,"two",IF(SUM(B51:E51)&gt;0,"three",IF(SUM(B51:F51)&gt;0,"four",IF(SUM(B51:G51)&gt;0,"five",IF(SUM(B51:H51)&gt;0,"six",IF(SUM(B51:I51)&gt;0,"seven","No")))))))</f>
        <v>No</v>
      </c>
      <c r="C62" s="58" t="str">
        <f>"This investment has a payback period of "&amp;B62&amp;" years."</f>
        <v>This investment has a payback period of No years.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ht="15.75" x14ac:dyDescent="0.25">
      <c r="B63" s="106">
        <f>SUM(C51:I51)/C8</f>
        <v>1.4063894787980626E-2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ht="15.75" x14ac:dyDescent="0.25">
      <c r="B64" s="58">
        <f>ROUND(IRR(B51:I51,+B63),3)*100</f>
        <v>-6.4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ht="15.75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ht="15.75" x14ac:dyDescent="0.25">
      <c r="B66" s="58" t="str">
        <f>IF(C41&lt;0,"one",IF(D41&lt;0,"two",IF(E41&lt;0,"three",IF(F41&lt;0,"four",IF(G41&lt;0,"five",IF(H41&lt;0,"six",IF(F41&lt;0,"seven","feasible")))))))</f>
        <v>one</v>
      </c>
      <c r="C66" s="58" t="str">
        <f>"This investment may not be financially feasible due to negative cash flow in year "&amp;B66&amp;"."</f>
        <v>This investment may not be financially feasible due to negative cash flow in year one.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ht="15.7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ht="15.7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ht="16.5" thickBot="1" x14ac:dyDescent="0.3">
      <c r="B69" s="58"/>
      <c r="C69" s="98">
        <f>IF(C28&gt;=1,ROUND(PPMT(C30*0.01,1,C28,-(((1-C26*0.01)*C8))),2),0)</f>
        <v>188.21</v>
      </c>
      <c r="D69" s="98">
        <f>IF(C28&gt;=2,ROUND(PPMT(C30*0.01,2,C28,-(((1-C26*0.01)*C8))),2),0)</f>
        <v>197.62</v>
      </c>
      <c r="E69" s="98">
        <f>IF(C28&gt;=3,ROUND(PPMT(C30*0.01,3,C28,-(((1-C26*0.01)*C8))),2),0)</f>
        <v>207.51</v>
      </c>
      <c r="F69" s="98">
        <f>IF(C28&gt;=4,ROUND(PPMT(C30*0.01,4,C28,-(((1-C26*0.01)*C8))),2),0)</f>
        <v>217.88</v>
      </c>
      <c r="G69" s="98">
        <f>IF(C28&gt;=5,ROUND(PPMT(C30*0.01,5,C28,-(((1-C26*0.01)*C8))),2),0)</f>
        <v>228.78</v>
      </c>
      <c r="H69" s="98">
        <f>IF(C28&gt;=6,ROUND(PPMT(C30*0.01,6,C28,-(((1-C26*0.01)*C8))),2),0)</f>
        <v>0</v>
      </c>
      <c r="I69" s="98">
        <f>IF(C28&gt;=7,ROUND(PPMT(C30*0.01,7,C28,-(((1-C26*0.01)*C8))),2),0)</f>
        <v>0</v>
      </c>
      <c r="J69" s="58"/>
      <c r="K69" s="58"/>
      <c r="L69" s="58"/>
      <c r="M69" s="58"/>
    </row>
    <row r="70" spans="2:13" ht="16.5" thickTop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ht="15.75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ht="15.75" x14ac:dyDescent="0.25">
      <c r="B72" s="95">
        <f>+B51</f>
        <v>-260</v>
      </c>
      <c r="C72" s="100">
        <f>(C51/(1+($C$44*0.01/100)))</f>
        <v>-170.67619047619047</v>
      </c>
      <c r="D72" s="100">
        <f>(D51/(1+($C$44*0.01/100))^2)</f>
        <v>-138.05895691609979</v>
      </c>
      <c r="E72" s="100">
        <f>(E51/(1+($C$44*0.01/100))^3)</f>
        <v>-100.39520570132814</v>
      </c>
      <c r="F72" s="100">
        <f>(F51/(1+($C$44*0.01/100))^4)</f>
        <v>-103.83327934348341</v>
      </c>
      <c r="G72" s="100">
        <f>(G51/(1+($C$44*0.01/100))^5)</f>
        <v>-106.73193439633347</v>
      </c>
      <c r="H72" s="100">
        <f>(H51/(1+($C$44*0.01/100))^6)</f>
        <v>70.144247283843001</v>
      </c>
      <c r="I72" s="100">
        <f>(I51/(1+($C$44*0.01/100))^7)</f>
        <v>567.83438277396704</v>
      </c>
      <c r="J72" s="58"/>
      <c r="K72" s="58"/>
      <c r="L72" s="58"/>
      <c r="M72" s="58"/>
    </row>
    <row r="73" spans="2:13" ht="15.75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ht="15.75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ht="15.75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ht="15.75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</sheetData>
  <sheetProtection sheet="1" objects="1" scenarios="1"/>
  <mergeCells count="2">
    <mergeCell ref="B1:I1"/>
    <mergeCell ref="B3:F3"/>
  </mergeCells>
  <phoneticPr fontId="2" type="noConversion"/>
  <pageMargins left="0.75" right="0.75" top="1" bottom="1" header="0.5" footer="0.5"/>
  <pageSetup scale="74" orientation="portrait" r:id="rId1"/>
  <headerFooter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3"/>
  <sheetViews>
    <sheetView topLeftCell="A7" zoomScaleNormal="100" workbookViewId="0">
      <selection activeCell="C9" sqref="C9"/>
    </sheetView>
  </sheetViews>
  <sheetFormatPr defaultRowHeight="15" x14ac:dyDescent="0.2"/>
  <cols>
    <col min="1" max="1" width="4.44140625" customWidth="1"/>
    <col min="2" max="2" width="22.33203125" customWidth="1"/>
    <col min="7" max="7" width="2.88671875" customWidth="1"/>
    <col min="8" max="8" width="9.109375" customWidth="1"/>
    <col min="9" max="9" width="2.33203125" customWidth="1"/>
    <col min="10" max="10" width="21.44140625" customWidth="1"/>
    <col min="11" max="11" width="10.5546875" bestFit="1" customWidth="1"/>
  </cols>
  <sheetData>
    <row r="1" spans="2:10" ht="18" x14ac:dyDescent="0.25">
      <c r="B1" s="52" t="s">
        <v>52</v>
      </c>
      <c r="C1" s="53"/>
      <c r="D1" s="53"/>
      <c r="E1" s="53"/>
      <c r="F1" s="53"/>
      <c r="G1" s="53"/>
      <c r="H1" s="53"/>
      <c r="I1" s="19"/>
    </row>
    <row r="2" spans="2:10" ht="15.6" customHeight="1" x14ac:dyDescent="0.25">
      <c r="B2" s="23"/>
      <c r="C2" s="24"/>
      <c r="D2" s="24"/>
      <c r="E2" s="37"/>
      <c r="F2" s="24"/>
      <c r="G2" s="24"/>
      <c r="H2" s="24"/>
      <c r="I2" s="24"/>
    </row>
    <row r="3" spans="2:10" x14ac:dyDescent="0.2">
      <c r="B3" s="54" t="s">
        <v>58</v>
      </c>
      <c r="C3" s="55"/>
      <c r="D3" s="55"/>
      <c r="E3" s="55"/>
      <c r="F3" s="55"/>
      <c r="G3" s="55"/>
      <c r="H3" s="55"/>
    </row>
    <row r="4" spans="2:10" x14ac:dyDescent="0.2">
      <c r="B4" s="45"/>
      <c r="C4" s="46"/>
      <c r="D4" s="46"/>
      <c r="E4" s="46"/>
      <c r="F4" s="46"/>
      <c r="G4" s="46"/>
      <c r="H4" s="46"/>
    </row>
    <row r="5" spans="2:10" ht="15.75" x14ac:dyDescent="0.25">
      <c r="B5" t="str">
        <f>'1. Cow Bid Price'!B3:F3</f>
        <v>Purchase bred - lease rate as grazing cost Rolling Plains of West TX</v>
      </c>
      <c r="H5" s="29" t="s">
        <v>34</v>
      </c>
      <c r="I5" s="25"/>
    </row>
    <row r="6" spans="2:10" ht="15.75" x14ac:dyDescent="0.25">
      <c r="B6" s="10" t="s">
        <v>60</v>
      </c>
      <c r="F6" s="32" t="s">
        <v>40</v>
      </c>
      <c r="H6" s="29" t="s">
        <v>53</v>
      </c>
      <c r="I6" s="25"/>
    </row>
    <row r="7" spans="2:10" ht="15.75" x14ac:dyDescent="0.25">
      <c r="C7" s="5" t="s">
        <v>37</v>
      </c>
      <c r="D7" s="18" t="s">
        <v>38</v>
      </c>
      <c r="E7" s="38"/>
      <c r="J7" s="10" t="s">
        <v>86</v>
      </c>
    </row>
    <row r="8" spans="2:10" x14ac:dyDescent="0.2">
      <c r="B8" s="5" t="s">
        <v>84</v>
      </c>
      <c r="C8" s="1">
        <v>15</v>
      </c>
      <c r="D8" s="6">
        <v>11</v>
      </c>
      <c r="E8" s="6"/>
      <c r="F8" s="7">
        <f>C8*D8</f>
        <v>165</v>
      </c>
      <c r="H8" s="4">
        <f>IF(F8=0," ",F8/$F$39)</f>
        <v>0.23916925645901943</v>
      </c>
      <c r="I8" s="4"/>
      <c r="J8" s="5" t="s">
        <v>85</v>
      </c>
    </row>
    <row r="9" spans="2:10" x14ac:dyDescent="0.2">
      <c r="H9" s="4"/>
      <c r="I9" s="4"/>
    </row>
    <row r="10" spans="2:10" x14ac:dyDescent="0.2">
      <c r="B10" s="5" t="s">
        <v>79</v>
      </c>
      <c r="D10" s="18" t="s">
        <v>78</v>
      </c>
      <c r="E10" s="38" t="s">
        <v>80</v>
      </c>
      <c r="J10" t="s">
        <v>47</v>
      </c>
    </row>
    <row r="11" spans="2:10" x14ac:dyDescent="0.2">
      <c r="B11" s="39" t="s">
        <v>74</v>
      </c>
      <c r="C11" s="39" t="s">
        <v>81</v>
      </c>
      <c r="D11" s="43">
        <v>1.5</v>
      </c>
      <c r="E11" s="44">
        <v>105</v>
      </c>
      <c r="F11" s="40">
        <f>D11*E11</f>
        <v>157.5</v>
      </c>
      <c r="H11" s="4">
        <f>IF(F11=0," ",F11/$F$39)</f>
        <v>0.22829792661997309</v>
      </c>
      <c r="I11" s="4"/>
    </row>
    <row r="12" spans="2:10" x14ac:dyDescent="0.2">
      <c r="B12" s="39" t="s">
        <v>75</v>
      </c>
      <c r="C12" s="39" t="s">
        <v>82</v>
      </c>
      <c r="D12" s="43">
        <f>+D11*1000*0.2/100</f>
        <v>3</v>
      </c>
      <c r="E12" s="44">
        <v>20</v>
      </c>
      <c r="F12" s="40">
        <f t="shared" ref="F12:F16" si="0">D12*E12</f>
        <v>60</v>
      </c>
      <c r="H12" s="4">
        <f>IF(F12=0," ",F12/$F$39)</f>
        <v>8.6970638712370693E-2</v>
      </c>
      <c r="I12" s="4"/>
    </row>
    <row r="13" spans="2:10" x14ac:dyDescent="0.2">
      <c r="B13" s="39" t="s">
        <v>76</v>
      </c>
      <c r="C13" s="39" t="s">
        <v>83</v>
      </c>
      <c r="D13" s="41">
        <v>90</v>
      </c>
      <c r="E13" s="44">
        <v>0.25</v>
      </c>
      <c r="F13" s="40">
        <f t="shared" si="0"/>
        <v>22.5</v>
      </c>
      <c r="H13" s="4">
        <f>IF(F13=0," ",F13/$F$39)</f>
        <v>3.2613989517139015E-2</v>
      </c>
      <c r="I13" s="4"/>
    </row>
    <row r="14" spans="2:10" x14ac:dyDescent="0.2">
      <c r="B14" s="39" t="s">
        <v>77</v>
      </c>
      <c r="C14" s="39"/>
      <c r="D14" s="39"/>
      <c r="E14" s="42">
        <v>0</v>
      </c>
      <c r="F14" s="40">
        <f t="shared" si="0"/>
        <v>0</v>
      </c>
      <c r="H14" s="4" t="str">
        <f>IF(F14=0," ",F14/$F$39)</f>
        <v xml:space="preserve"> </v>
      </c>
      <c r="I14" s="4"/>
    </row>
    <row r="15" spans="2:10" x14ac:dyDescent="0.2">
      <c r="B15" s="39" t="s">
        <v>77</v>
      </c>
      <c r="C15" s="39"/>
      <c r="D15" s="39"/>
      <c r="E15" s="42">
        <v>0</v>
      </c>
      <c r="F15" s="40">
        <f t="shared" si="0"/>
        <v>0</v>
      </c>
      <c r="H15" s="4"/>
      <c r="I15" s="4"/>
    </row>
    <row r="16" spans="2:10" x14ac:dyDescent="0.2">
      <c r="B16" s="39" t="s">
        <v>77</v>
      </c>
      <c r="C16" s="39"/>
      <c r="D16" s="39"/>
      <c r="E16" s="42">
        <v>0</v>
      </c>
      <c r="F16" s="40">
        <f t="shared" si="0"/>
        <v>0</v>
      </c>
      <c r="H16" s="25"/>
      <c r="I16" s="25"/>
    </row>
    <row r="17" spans="2:15" ht="15.75" x14ac:dyDescent="0.25">
      <c r="B17" s="21" t="s">
        <v>54</v>
      </c>
      <c r="F17" s="9">
        <f>SUM(F8:F16)</f>
        <v>405</v>
      </c>
      <c r="H17" s="13">
        <f>SUM(H8:H16)</f>
        <v>0.58705181130850215</v>
      </c>
      <c r="I17" s="13"/>
      <c r="J17" s="5" t="s">
        <v>39</v>
      </c>
    </row>
    <row r="18" spans="2:15" ht="15.75" x14ac:dyDescent="0.25">
      <c r="B18" s="21"/>
      <c r="F18" s="9"/>
      <c r="H18" s="13"/>
      <c r="I18" s="13"/>
      <c r="J18" s="5"/>
    </row>
    <row r="19" spans="2:15" ht="15.75" x14ac:dyDescent="0.25">
      <c r="B19" t="s">
        <v>59</v>
      </c>
      <c r="F19" s="1">
        <v>120</v>
      </c>
      <c r="H19" s="13">
        <f>IF(F19=0," ",F19/$F$39)</f>
        <v>0.17394127742474139</v>
      </c>
      <c r="I19" s="13"/>
      <c r="J19" s="5" t="s">
        <v>73</v>
      </c>
    </row>
    <row r="20" spans="2:15" x14ac:dyDescent="0.2">
      <c r="B20" t="s">
        <v>35</v>
      </c>
      <c r="F20" s="1">
        <v>35</v>
      </c>
      <c r="H20" s="4">
        <f>IF(F20=0," ",F20/$F$39)</f>
        <v>5.0732872582216239E-2</v>
      </c>
      <c r="I20" s="4"/>
    </row>
    <row r="21" spans="2:15" x14ac:dyDescent="0.2">
      <c r="B21" s="51" t="s">
        <v>100</v>
      </c>
      <c r="F21" s="1">
        <v>0</v>
      </c>
      <c r="H21" s="4" t="str">
        <f>IF(F21=0," ",F21/$F$39)</f>
        <v xml:space="preserve"> </v>
      </c>
      <c r="I21" s="4"/>
      <c r="J21" s="5" t="s">
        <v>57</v>
      </c>
    </row>
    <row r="22" spans="2:15" ht="15.75" x14ac:dyDescent="0.25">
      <c r="B22" s="2" t="s">
        <v>30</v>
      </c>
      <c r="F22" s="1">
        <v>0</v>
      </c>
      <c r="H22" s="4" t="str">
        <f>IF(F22=0," ",F22/$F$39)</f>
        <v xml:space="preserve"> </v>
      </c>
      <c r="I22" s="13"/>
      <c r="J22" s="5"/>
    </row>
    <row r="23" spans="2:15" ht="15.75" x14ac:dyDescent="0.25">
      <c r="B23" s="5" t="s">
        <v>33</v>
      </c>
      <c r="F23" s="1"/>
      <c r="H23" s="4"/>
      <c r="I23" s="13"/>
      <c r="J23" s="5"/>
    </row>
    <row r="24" spans="2:15" ht="15.75" x14ac:dyDescent="0.25">
      <c r="B24" s="33" t="s">
        <v>67</v>
      </c>
      <c r="F24" s="1"/>
      <c r="H24" s="4"/>
      <c r="I24" s="13"/>
      <c r="J24" s="26" t="s">
        <v>107</v>
      </c>
    </row>
    <row r="25" spans="2:15" ht="15.75" x14ac:dyDescent="0.25">
      <c r="B25" s="8" t="s">
        <v>63</v>
      </c>
      <c r="F25" s="7">
        <f>K35</f>
        <v>30.888000000000002</v>
      </c>
      <c r="H25" s="4">
        <f>IF(F25=0," ",F25/$F$39)</f>
        <v>4.4772484809128439E-2</v>
      </c>
      <c r="I25" s="4"/>
      <c r="J25" s="10" t="s">
        <v>56</v>
      </c>
      <c r="K25" s="14"/>
      <c r="L25" s="47"/>
    </row>
    <row r="26" spans="2:15" ht="15.75" x14ac:dyDescent="0.25">
      <c r="B26" s="28" t="s">
        <v>62</v>
      </c>
      <c r="F26" s="30">
        <f>SUM(F17:F25)</f>
        <v>590.88800000000003</v>
      </c>
      <c r="G26" s="10"/>
      <c r="H26" s="13">
        <f>SUM(H17:H25)</f>
        <v>0.85649844612458825</v>
      </c>
      <c r="I26" s="13"/>
      <c r="J26" s="47" t="s">
        <v>44</v>
      </c>
      <c r="K26" s="1">
        <v>4500</v>
      </c>
      <c r="L26" s="47"/>
    </row>
    <row r="27" spans="2:15" ht="15.75" x14ac:dyDescent="0.25">
      <c r="B27" s="21"/>
      <c r="F27" s="9"/>
      <c r="H27" s="13"/>
      <c r="I27" s="13"/>
      <c r="J27" s="47" t="s">
        <v>42</v>
      </c>
      <c r="K27" s="17">
        <v>4</v>
      </c>
      <c r="L27" s="47"/>
    </row>
    <row r="28" spans="2:15" ht="15.75" x14ac:dyDescent="0.25">
      <c r="B28" s="28" t="s">
        <v>61</v>
      </c>
      <c r="J28" s="47" t="s">
        <v>45</v>
      </c>
      <c r="K28" s="17">
        <v>1800</v>
      </c>
      <c r="L28" s="13">
        <f>1/K27</f>
        <v>0.25</v>
      </c>
      <c r="M28" s="13" t="s">
        <v>68</v>
      </c>
      <c r="N28" s="10"/>
      <c r="O28" s="10"/>
    </row>
    <row r="29" spans="2:15" x14ac:dyDescent="0.2">
      <c r="B29" s="5" t="s">
        <v>48</v>
      </c>
      <c r="F29" s="1">
        <v>16</v>
      </c>
      <c r="H29" s="4">
        <f>IF(F29=0," ",F29/$F$39)</f>
        <v>2.3192170323298855E-2</v>
      </c>
      <c r="I29" s="4"/>
      <c r="J29" s="47" t="s">
        <v>72</v>
      </c>
      <c r="K29" s="1">
        <v>80</v>
      </c>
      <c r="L29" s="47"/>
    </row>
    <row r="30" spans="2:15" ht="15.75" x14ac:dyDescent="0.25">
      <c r="B30" t="s">
        <v>31</v>
      </c>
      <c r="F30" s="1">
        <v>5</v>
      </c>
      <c r="H30" s="4">
        <f>IF(F30=0," ",F30/$F$39)</f>
        <v>7.2475532260308914E-3</v>
      </c>
      <c r="I30" s="4"/>
      <c r="J30" s="47" t="s">
        <v>43</v>
      </c>
      <c r="K30" s="48">
        <f>K28*K29*0.01</f>
        <v>1440</v>
      </c>
      <c r="L30" s="47"/>
      <c r="M30" s="15"/>
      <c r="N30" s="10"/>
    </row>
    <row r="31" spans="2:15" x14ac:dyDescent="0.2">
      <c r="B31" s="34" t="s">
        <v>70</v>
      </c>
      <c r="F31" s="1">
        <v>0</v>
      </c>
      <c r="H31" s="4" t="str">
        <f>IF(F31=0," ",F31/$F$39)</f>
        <v xml:space="preserve"> </v>
      </c>
      <c r="I31" s="4"/>
      <c r="J31" s="47" t="s">
        <v>91</v>
      </c>
      <c r="K31" s="16">
        <v>2</v>
      </c>
      <c r="L31" s="47"/>
    </row>
    <row r="32" spans="2:15" ht="15.75" x14ac:dyDescent="0.25">
      <c r="B32" s="34" t="s">
        <v>70</v>
      </c>
      <c r="F32" s="1">
        <v>0</v>
      </c>
      <c r="H32" s="4" t="str">
        <f t="shared" ref="H32" si="1">IF(F32=0," ",F32/$F$39)</f>
        <v xml:space="preserve"> </v>
      </c>
      <c r="I32" s="4"/>
      <c r="J32" s="47" t="s">
        <v>92</v>
      </c>
      <c r="K32" s="9">
        <f>((K30*(100-K31)*0.01))</f>
        <v>1411.2</v>
      </c>
      <c r="L32" s="47"/>
      <c r="M32" s="49">
        <f>((K32*L28)/K35)</f>
        <v>11.421911421911421</v>
      </c>
      <c r="N32" s="10" t="s">
        <v>94</v>
      </c>
    </row>
    <row r="33" spans="2:11" ht="15.75" x14ac:dyDescent="0.25">
      <c r="B33" s="8" t="s">
        <v>69</v>
      </c>
      <c r="F33" s="1">
        <v>10</v>
      </c>
      <c r="H33" s="4">
        <f>IF(F33=0," ",F33/$F$39)</f>
        <v>1.4495106452061783E-2</v>
      </c>
      <c r="I33" s="4"/>
      <c r="J33" s="10" t="s">
        <v>33</v>
      </c>
      <c r="K33" s="22">
        <f>((K26-K32)/K27)</f>
        <v>772.2</v>
      </c>
    </row>
    <row r="34" spans="2:11" x14ac:dyDescent="0.2">
      <c r="B34" s="51" t="s">
        <v>96</v>
      </c>
      <c r="F34" s="1">
        <v>20</v>
      </c>
      <c r="H34" s="4">
        <f>IF(F34=0," ",F34/$F$39)</f>
        <v>2.8990212904123566E-2</v>
      </c>
      <c r="I34" s="4"/>
      <c r="J34" s="47" t="s">
        <v>46</v>
      </c>
      <c r="K34" s="17">
        <v>25</v>
      </c>
    </row>
    <row r="35" spans="2:11" ht="15.75" x14ac:dyDescent="0.25">
      <c r="B35" s="3" t="s">
        <v>33</v>
      </c>
      <c r="F35" s="1"/>
      <c r="H35" s="4" t="str">
        <f>IF(F35=0," ",F35/$F$39)</f>
        <v xml:space="preserve"> </v>
      </c>
      <c r="I35" s="4"/>
      <c r="J35" s="10" t="s">
        <v>93</v>
      </c>
      <c r="K35" s="50">
        <f>K33/K34</f>
        <v>30.888000000000002</v>
      </c>
    </row>
    <row r="36" spans="2:11" x14ac:dyDescent="0.2">
      <c r="B36" s="33" t="s">
        <v>64</v>
      </c>
      <c r="F36" s="1">
        <v>48</v>
      </c>
      <c r="H36" s="4">
        <f>IF(F36=0," ",F36/$F$39)</f>
        <v>6.957651096989656E-2</v>
      </c>
      <c r="I36" s="4"/>
    </row>
    <row r="37" spans="2:11" ht="15.75" x14ac:dyDescent="0.25">
      <c r="B37" s="21" t="s">
        <v>65</v>
      </c>
      <c r="F37" s="30">
        <f>SUM(F29:F36)</f>
        <v>99</v>
      </c>
      <c r="H37" s="13">
        <f>SUM(H29:H36)</f>
        <v>0.14350155387541164</v>
      </c>
      <c r="I37" s="20"/>
    </row>
    <row r="39" spans="2:11" ht="18" x14ac:dyDescent="0.25">
      <c r="B39" s="35" t="s">
        <v>66</v>
      </c>
      <c r="C39" s="27"/>
      <c r="D39" s="27"/>
      <c r="E39" s="27"/>
      <c r="F39" s="36">
        <f>F26+F37</f>
        <v>689.88800000000003</v>
      </c>
      <c r="I39" s="4"/>
    </row>
    <row r="40" spans="2:11" ht="15.75" x14ac:dyDescent="0.25">
      <c r="B40" s="5" t="s">
        <v>71</v>
      </c>
      <c r="C40" s="10"/>
      <c r="D40" s="10"/>
      <c r="E40" s="10"/>
      <c r="F40" s="9"/>
      <c r="I40" s="4"/>
      <c r="J40" s="31"/>
    </row>
    <row r="41" spans="2:11" x14ac:dyDescent="0.2">
      <c r="B41" s="26" t="s">
        <v>107</v>
      </c>
    </row>
    <row r="42" spans="2:11" x14ac:dyDescent="0.2">
      <c r="B42" s="12" t="s">
        <v>95</v>
      </c>
    </row>
    <row r="43" spans="2:11" x14ac:dyDescent="0.2">
      <c r="B43" s="12"/>
    </row>
    <row r="45" spans="2:11" x14ac:dyDescent="0.2">
      <c r="B45" t="s">
        <v>49</v>
      </c>
    </row>
    <row r="52" spans="10:12" x14ac:dyDescent="0.2">
      <c r="J52" s="5"/>
      <c r="K52" s="17"/>
      <c r="L52" s="11"/>
    </row>
    <row r="53" spans="10:12" ht="15.75" x14ac:dyDescent="0.25">
      <c r="J53" s="10"/>
      <c r="K53" s="14"/>
      <c r="L53" s="11"/>
    </row>
  </sheetData>
  <sheetProtection sheet="1" objects="1" scenarios="1"/>
  <mergeCells count="2">
    <mergeCell ref="B1:H1"/>
    <mergeCell ref="B3:H3"/>
  </mergeCells>
  <phoneticPr fontId="2" type="noConversion"/>
  <pageMargins left="1" right="0.5" top="1" bottom="1" header="0.5" footer="0.5"/>
  <pageSetup scale="96" orientation="portrait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Cow Bid Price</vt:lpstr>
      <vt:lpstr>2. Estimated Operating Cost </vt:lpstr>
      <vt:lpstr>'1. Cow Bid Price'!Print_Area</vt:lpstr>
      <vt:lpstr>'2. Estimated Operating Cost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Pancho J. Abello</cp:lastModifiedBy>
  <cp:lastPrinted>2021-05-02T21:34:18Z</cp:lastPrinted>
  <dcterms:created xsi:type="dcterms:W3CDTF">2006-01-01T22:27:49Z</dcterms:created>
  <dcterms:modified xsi:type="dcterms:W3CDTF">2021-05-25T19:23:59Z</dcterms:modified>
</cp:coreProperties>
</file>