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cgra\Documents\1. V. Dairy Cattle Retaimed Owmership Additions 2021\Third Section\"/>
    </mc:Choice>
  </mc:AlternateContent>
  <xr:revisionPtr revIDLastSave="0" documentId="13_ncr:1_{E5A4CEEF-878A-46C4-B9C1-29F5752176CB}" xr6:coauthVersionLast="45" xr6:coauthVersionMax="45" xr10:uidLastSave="{00000000-0000-0000-0000-000000000000}"/>
  <bookViews>
    <workbookView xWindow="-103" yWindow="-103" windowWidth="16663" windowHeight="8863" tabRatio="975" xr2:uid="{00000000-000D-0000-FFFF-FFFF00000000}"/>
  </bookViews>
  <sheets>
    <sheet name="1. CattleFinisih&amp;ROI Projection" sheetId="1" r:id="rId1"/>
    <sheet name="2.Performance Report" sheetId="4" r:id="rId2"/>
    <sheet name="3. Graphs" sheetId="5" r:id="rId3"/>
  </sheets>
  <definedNames>
    <definedName name="margin_slide">'1. CattleFinisih&amp;ROI Projection'!$B$74</definedName>
    <definedName name="_xlnm.Print_Area" localSheetId="0">'1. CattleFinisih&amp;ROI Projection'!$B$1:$G$130</definedName>
    <definedName name="_xlnm.Print_Area" localSheetId="1">'2.Performance Report'!$B$1:$C$59</definedName>
    <definedName name="_xlnm.Print_Area" localSheetId="2">'3. Graphs'!$B$1:$L$71</definedName>
    <definedName name="sell_keep">'1. CattleFinisih&amp;ROI Projection'!$B$1</definedName>
    <definedName name="sensitivity">#REF!</definedName>
  </definedNames>
  <calcPr calcId="181029"/>
</workbook>
</file>

<file path=xl/calcChain.xml><?xml version="1.0" encoding="utf-8"?>
<calcChain xmlns="http://schemas.openxmlformats.org/spreadsheetml/2006/main">
  <c r="F43" i="1" l="1"/>
  <c r="F13" i="1" l="1"/>
  <c r="D108" i="1" l="1"/>
  <c r="C15" i="4" l="1"/>
  <c r="F25" i="1"/>
  <c r="I25" i="1"/>
  <c r="F24" i="1" s="1"/>
  <c r="E108" i="1" l="1"/>
  <c r="F20" i="1"/>
  <c r="F7" i="4"/>
  <c r="F44" i="1" l="1"/>
  <c r="C26" i="4" l="1"/>
  <c r="D123" i="1" l="1"/>
  <c r="E123" i="1"/>
  <c r="C2" i="4"/>
  <c r="H70" i="1"/>
  <c r="D104" i="1"/>
  <c r="J19" i="1" s="1"/>
  <c r="M16" i="1"/>
  <c r="C20" i="4"/>
  <c r="C49" i="4"/>
  <c r="J17" i="1"/>
  <c r="H40" i="5"/>
  <c r="C3" i="4"/>
  <c r="C4" i="4"/>
  <c r="C5" i="4"/>
  <c r="C6" i="4"/>
  <c r="C7" i="4"/>
  <c r="C8" i="4"/>
  <c r="C9" i="4"/>
  <c r="C12" i="4"/>
  <c r="C14" i="4"/>
  <c r="J31" i="1"/>
  <c r="M31" i="1" s="1"/>
  <c r="F21" i="1"/>
  <c r="N34" i="1"/>
  <c r="Q34" i="1"/>
  <c r="F41" i="1"/>
  <c r="F42" i="1"/>
  <c r="F45" i="1"/>
  <c r="F46" i="1"/>
  <c r="D52" i="1"/>
  <c r="F52" i="1" s="1"/>
  <c r="D53" i="1"/>
  <c r="F53" i="1" s="1"/>
  <c r="J77" i="1"/>
  <c r="E79" i="1"/>
  <c r="J101" i="1"/>
  <c r="D102" i="1"/>
  <c r="H41" i="5" l="1"/>
  <c r="I21" i="1"/>
  <c r="J21" i="1" s="1"/>
  <c r="I23" i="1"/>
  <c r="J23" i="1" s="1"/>
  <c r="J37" i="5"/>
  <c r="L37" i="5" s="1"/>
  <c r="I46" i="1"/>
  <c r="J38" i="5"/>
  <c r="L38" i="5" s="1"/>
  <c r="F54" i="1"/>
  <c r="M17" i="1"/>
  <c r="M18" i="1" s="1"/>
  <c r="K101" i="1"/>
  <c r="G40" i="5" s="1"/>
  <c r="Q41" i="1"/>
  <c r="C17" i="4"/>
  <c r="I110" i="1"/>
  <c r="I109" i="1"/>
  <c r="J33" i="1"/>
  <c r="M32" i="1" s="1"/>
  <c r="F19" i="1"/>
  <c r="E102" i="1" s="1"/>
  <c r="C18" i="4" l="1"/>
  <c r="E26" i="1"/>
  <c r="E54" i="1"/>
  <c r="I48" i="1"/>
  <c r="J39" i="5"/>
  <c r="L39" i="5" s="1"/>
  <c r="I111" i="1"/>
  <c r="D112" i="1" s="1"/>
  <c r="D125" i="1" s="1"/>
  <c r="F12" i="1" s="1"/>
  <c r="F14" i="1"/>
  <c r="M19" i="1"/>
  <c r="H85" i="1"/>
  <c r="H69" i="1"/>
  <c r="H71" i="1" s="1"/>
  <c r="E104" i="1"/>
  <c r="J28" i="1"/>
  <c r="L25" i="1"/>
  <c r="C13" i="4"/>
  <c r="C21" i="4" s="1"/>
  <c r="F26" i="1"/>
  <c r="M10" i="1"/>
  <c r="J102" i="1"/>
  <c r="J10" i="1"/>
  <c r="K10" i="1" s="1"/>
  <c r="C10" i="4"/>
  <c r="M33" i="1"/>
  <c r="F29" i="1"/>
  <c r="F15" i="1" l="1"/>
  <c r="L28" i="1"/>
  <c r="C16" i="4"/>
  <c r="N10" i="1"/>
  <c r="J119" i="1"/>
  <c r="J120" i="1"/>
  <c r="J103" i="1"/>
  <c r="K103" i="1" s="1"/>
  <c r="G42" i="5" s="1"/>
  <c r="K102" i="1"/>
  <c r="G41" i="5" s="1"/>
  <c r="J27" i="1"/>
  <c r="D40" i="1" s="1"/>
  <c r="D38" i="1" l="1"/>
  <c r="C58" i="4"/>
  <c r="F40" i="1"/>
  <c r="J36" i="5" s="1"/>
  <c r="L36" i="5" s="1"/>
  <c r="J46" i="1"/>
  <c r="F16" i="1"/>
  <c r="Q51" i="1" s="1"/>
  <c r="F17" i="1"/>
  <c r="J121" i="1"/>
  <c r="E112" i="1" s="1"/>
  <c r="E125" i="1" s="1"/>
  <c r="F27" i="1" s="1"/>
  <c r="F38" i="1" l="1"/>
  <c r="J35" i="5" s="1"/>
  <c r="L35" i="5" s="1"/>
  <c r="N37" i="1"/>
  <c r="Q37" i="1" s="1"/>
  <c r="Q42" i="1"/>
  <c r="Q53" i="1" s="1"/>
  <c r="K46" i="1"/>
  <c r="K48" i="1"/>
  <c r="D91" i="1"/>
  <c r="N46" i="1"/>
  <c r="N47" i="1" s="1"/>
  <c r="N49" i="1" s="1"/>
  <c r="E38" i="1"/>
  <c r="C23" i="4"/>
  <c r="F28" i="1"/>
  <c r="F31" i="1" s="1"/>
  <c r="F47" i="1" l="1"/>
  <c r="F49" i="1" s="1"/>
  <c r="M37" i="1"/>
  <c r="N38" i="1"/>
  <c r="N39" i="1" s="1"/>
  <c r="N57" i="1" s="1"/>
  <c r="K49" i="1"/>
  <c r="Q46" i="1"/>
  <c r="Q47" i="1" s="1"/>
  <c r="M46" i="1"/>
  <c r="F33" i="1"/>
  <c r="M58" i="1" l="1"/>
  <c r="L58" i="1" s="1"/>
  <c r="F56" i="1"/>
  <c r="J85" i="1" s="1"/>
  <c r="E47" i="1"/>
  <c r="N55" i="1"/>
  <c r="N58" i="1" s="1"/>
  <c r="N41" i="1"/>
  <c r="N42" i="1" s="1"/>
  <c r="M55" i="1"/>
  <c r="F35" i="1"/>
  <c r="E35" i="1" s="1"/>
  <c r="F34" i="1"/>
  <c r="F59" i="1" l="1"/>
  <c r="I59" i="1" s="1"/>
  <c r="J59" i="1" s="1"/>
  <c r="J81" i="1"/>
  <c r="F77" i="1"/>
  <c r="F79" i="1" s="1"/>
  <c r="C51" i="4" s="1"/>
  <c r="D87" i="1"/>
  <c r="C28" i="4" s="1"/>
  <c r="E56" i="1"/>
  <c r="C55" i="4" s="1"/>
  <c r="C56" i="4" s="1"/>
  <c r="D56" i="1"/>
  <c r="N51" i="1"/>
  <c r="N53" i="1" s="1"/>
  <c r="F60" i="1" s="1"/>
  <c r="E60" i="1" s="1"/>
  <c r="D85" i="1"/>
  <c r="D90" i="1"/>
  <c r="D92" i="1" s="1"/>
  <c r="C25" i="4" s="1"/>
  <c r="J96" i="1"/>
  <c r="D95" i="1" s="1"/>
  <c r="C36" i="4"/>
  <c r="C24" i="4"/>
  <c r="C50" i="4" l="1"/>
  <c r="F64" i="1"/>
  <c r="J80" i="1" s="1"/>
  <c r="J78" i="1" s="1"/>
  <c r="F67" i="1" s="1"/>
  <c r="J40" i="5"/>
  <c r="L40" i="5" s="1"/>
  <c r="L41" i="5" s="1"/>
  <c r="F62" i="1"/>
  <c r="E83" i="1"/>
  <c r="D83" i="1" s="1"/>
  <c r="C30" i="4" s="1"/>
  <c r="C29" i="4" s="1"/>
  <c r="J104" i="1"/>
  <c r="J97" i="1" s="1"/>
  <c r="D96" i="1" s="1"/>
  <c r="C43" i="4" s="1"/>
  <c r="C32" i="4"/>
  <c r="E85" i="1"/>
  <c r="F34" i="5"/>
  <c r="C42" i="4"/>
  <c r="G62" i="1" l="1"/>
  <c r="G43" i="1"/>
  <c r="F66" i="1"/>
  <c r="F38" i="5" s="1"/>
  <c r="E64" i="1"/>
  <c r="G40" i="1"/>
  <c r="J86" i="1"/>
  <c r="D64" i="1"/>
  <c r="D97" i="1"/>
  <c r="C44" i="4" s="1"/>
  <c r="F73" i="1"/>
  <c r="C46" i="4" s="1"/>
  <c r="C47" i="4" s="1"/>
  <c r="G47" i="1"/>
  <c r="G17" i="1"/>
  <c r="E62" i="1"/>
  <c r="G44" i="1"/>
  <c r="L44" i="5"/>
  <c r="G49" i="1"/>
  <c r="F69" i="1"/>
  <c r="C39" i="4" s="1"/>
  <c r="G54" i="1"/>
  <c r="G38" i="1"/>
  <c r="C59" i="4" s="1"/>
  <c r="G60" i="1"/>
  <c r="D62" i="1"/>
  <c r="C34" i="4" s="1"/>
  <c r="J41" i="5"/>
  <c r="K35" i="5" s="1"/>
  <c r="G46" i="1"/>
  <c r="G42" i="1"/>
  <c r="G56" i="1"/>
  <c r="G64" i="1"/>
  <c r="G45" i="1"/>
  <c r="G41" i="1"/>
  <c r="F83" i="1"/>
  <c r="F35" i="5"/>
  <c r="J98" i="1"/>
  <c r="D88" i="1"/>
  <c r="C37" i="4"/>
  <c r="L83" i="1" l="1"/>
  <c r="H123" i="1"/>
  <c r="H12" i="1"/>
  <c r="F36" i="5"/>
  <c r="H14" i="1"/>
  <c r="K37" i="5"/>
  <c r="K38" i="5"/>
  <c r="K40" i="5"/>
  <c r="K39" i="5"/>
  <c r="K36" i="5"/>
  <c r="F71" i="1"/>
  <c r="C4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McGrann</author>
  </authors>
  <commentList>
    <comment ref="L8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 If ROA/ROE is positive and greater than 1 then debt cost is less than return and use is favorable.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 Divided by cattle marketed to  adjust for death loss.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<sst xmlns="http://schemas.openxmlformats.org/spreadsheetml/2006/main" count="382" uniqueCount="289">
  <si>
    <t>Date of Analysis</t>
  </si>
  <si>
    <t>Head</t>
  </si>
  <si>
    <t>Lb.</t>
  </si>
  <si>
    <t>%</t>
  </si>
  <si>
    <t>$/Cwt.</t>
  </si>
  <si>
    <t>% - $/Head</t>
  </si>
  <si>
    <t>$/Head</t>
  </si>
  <si>
    <t>Lb./Day</t>
  </si>
  <si>
    <t>Lb./Head</t>
  </si>
  <si>
    <t xml:space="preserve">                    Net Gain (Deads In)</t>
  </si>
  <si>
    <t>Total Sales Value (Based on Head Marketed)</t>
  </si>
  <si>
    <t>Total</t>
  </si>
  <si>
    <t>$/Hd.</t>
  </si>
  <si>
    <t>Marketing Margin</t>
  </si>
  <si>
    <t>Feeding Margin</t>
  </si>
  <si>
    <t>Net Margin</t>
  </si>
  <si>
    <t xml:space="preserve">          Weight</t>
  </si>
  <si>
    <t>Dates</t>
  </si>
  <si>
    <t>Actual Weight Used In Slide Calculation</t>
  </si>
  <si>
    <t xml:space="preserve"> </t>
  </si>
  <si>
    <t>Cattle Price Slide Calculator-------------------</t>
  </si>
  <si>
    <t xml:space="preserve">  Tolerance Above Base Weight</t>
  </si>
  <si>
    <t xml:space="preserve">  Tolerance Below Base Weight</t>
  </si>
  <si>
    <t xml:space="preserve">  Price Slide </t>
  </si>
  <si>
    <t>Calculation of Discounts or Premium</t>
  </si>
  <si>
    <t>Price Slide Discount (-) or Premium (+)</t>
  </si>
  <si>
    <t>Heavy</t>
  </si>
  <si>
    <t>Light</t>
  </si>
  <si>
    <t>Slide Discount 0r Premium</t>
  </si>
  <si>
    <t xml:space="preserve">  Muscling </t>
  </si>
  <si>
    <t xml:space="preserve">  Frame</t>
  </si>
  <si>
    <t xml:space="preserve">  Fill</t>
  </si>
  <si>
    <t>Equity Investment</t>
  </si>
  <si>
    <t>Return on Equity %</t>
  </si>
  <si>
    <t>Percent Equity</t>
  </si>
  <si>
    <t xml:space="preserve">                      Marketing Margin</t>
  </si>
  <si>
    <t>ROE/ROA =</t>
  </si>
  <si>
    <t>Financial Performance</t>
  </si>
  <si>
    <t>Price Slide &amp; Other Premium or Discount Calculator</t>
  </si>
  <si>
    <t>$</t>
  </si>
  <si>
    <t>Economic*</t>
  </si>
  <si>
    <t>Total Interest</t>
  </si>
  <si>
    <t>% Borrowed</t>
  </si>
  <si>
    <t>Quality Discounts (-), Premiums (+)</t>
  </si>
  <si>
    <t>Total Quality Discounts (-), Premiums (+)</t>
  </si>
  <si>
    <t xml:space="preserve">  Base Weight for Calculating Slide</t>
  </si>
  <si>
    <t xml:space="preserve">  Base Price Before Adjusting for Weight Slide</t>
  </si>
  <si>
    <t xml:space="preserve">                      Feeding Margin</t>
  </si>
  <si>
    <t>% - Head</t>
  </si>
  <si>
    <t xml:space="preserve">Annualized Return on Equity - ROE   </t>
  </si>
  <si>
    <t>Rate of Rtn.</t>
  </si>
  <si>
    <t>Total Cattle</t>
  </si>
  <si>
    <t>Total Non feed</t>
  </si>
  <si>
    <t>Borrowed</t>
  </si>
  <si>
    <t>Equity</t>
  </si>
  <si>
    <t>Maximum Feeder Price</t>
  </si>
  <si>
    <t>Net Income</t>
  </si>
  <si>
    <t>Total Cattle Interest</t>
  </si>
  <si>
    <t>Total Equity</t>
  </si>
  <si>
    <t>Total Capital</t>
  </si>
  <si>
    <t>Feedyard</t>
  </si>
  <si>
    <t>Origin</t>
  </si>
  <si>
    <t>Sex</t>
  </si>
  <si>
    <t>Feeder Cost or Value In $/Cwt.</t>
  </si>
  <si>
    <t>Net Payweight Sales Price $/Cwt.</t>
  </si>
  <si>
    <t>Total Cost of Gain  $/Cwt.</t>
  </si>
  <si>
    <t>Marketing Margin - $/Head</t>
  </si>
  <si>
    <t>Feeding Margin - $/Head</t>
  </si>
  <si>
    <t>Net Margin or Income - $/Head</t>
  </si>
  <si>
    <t>Return on Investment ROI</t>
  </si>
  <si>
    <t>Out Weight</t>
  </si>
  <si>
    <t>Days on Feed - On Head Out</t>
  </si>
  <si>
    <t xml:space="preserve">Starting Date </t>
  </si>
  <si>
    <t>Description</t>
  </si>
  <si>
    <t>Net Payweight In</t>
  </si>
  <si>
    <t>Transportation to Feedyard</t>
  </si>
  <si>
    <t>Net Payweight Cost Per Head</t>
  </si>
  <si>
    <t>Net Payweight Cost Per Cwt.</t>
  </si>
  <si>
    <t>Date Marketed</t>
  </si>
  <si>
    <t xml:space="preserve">Shrink When Sold </t>
  </si>
  <si>
    <t>Net Payweight</t>
  </si>
  <si>
    <t>Marketing Costs - Commissions</t>
  </si>
  <si>
    <t>Other Marketing Costs - Per Head Charges</t>
  </si>
  <si>
    <t>$/Mile - Miles</t>
  </si>
  <si>
    <t>Freight Calculation Cattle Out</t>
  </si>
  <si>
    <t>Cost per loaded mile</t>
  </si>
  <si>
    <t>Pounds load</t>
  </si>
  <si>
    <t>Total Per Load</t>
  </si>
  <si>
    <t>Total Per Head</t>
  </si>
  <si>
    <t>Number of Head  On Load</t>
  </si>
  <si>
    <t>Percent Death Loss &amp; Marketing (Net of Death Loss)</t>
  </si>
  <si>
    <t>Net Payweight Sales Revenue Per Head</t>
  </si>
  <si>
    <t>Net Payweight Sales Revenue Per Cwt.</t>
  </si>
  <si>
    <t>Total Marketing Cost</t>
  </si>
  <si>
    <t>Futures/Options (+/-)</t>
  </si>
  <si>
    <t xml:space="preserve"> Wt./Head Out</t>
  </si>
  <si>
    <t>Gain / Hd. In</t>
  </si>
  <si>
    <t xml:space="preserve">General and Administrative </t>
  </si>
  <si>
    <t xml:space="preserve">Management Cost </t>
  </si>
  <si>
    <t>Direct Cost</t>
  </si>
  <si>
    <t>Total Cost of Feeder Cattle In</t>
  </si>
  <si>
    <t>$/Cwt.  In</t>
  </si>
  <si>
    <t xml:space="preserve">Total Production Costs </t>
  </si>
  <si>
    <t>Financing Cost</t>
  </si>
  <si>
    <t>$/Head Out</t>
  </si>
  <si>
    <t>Non Feed Interest</t>
  </si>
  <si>
    <t>Cost of Gain Per Cwt. and Head</t>
  </si>
  <si>
    <t xml:space="preserve">  Heifer Sex Discount  (-)</t>
  </si>
  <si>
    <t xml:space="preserve">Annualized Return on Investment - ROI  </t>
  </si>
  <si>
    <t>Feeding Cost as Percent of Net Payweight Gain**</t>
  </si>
  <si>
    <t>Return to Equity = Net Income</t>
  </si>
  <si>
    <t>Net Sales Price</t>
  </si>
  <si>
    <t>Interest Rate</t>
  </si>
  <si>
    <t>Return to Assets = Net</t>
  </si>
  <si>
    <t>Lb./Hd &amp; Days</t>
  </si>
  <si>
    <t>______________________________________________________________________________________________________________________</t>
  </si>
  <si>
    <t>___________________________________________________________________________________________</t>
  </si>
  <si>
    <t>Annualized</t>
  </si>
  <si>
    <t>Total Investment</t>
  </si>
  <si>
    <t>Summary Margin Analysis</t>
  </si>
  <si>
    <t>Total Purchase  In</t>
  </si>
  <si>
    <t>Total Sales Based on Head Outs - Finished Cattle</t>
  </si>
  <si>
    <t>Total Gain Based on Head Outs</t>
  </si>
  <si>
    <t>Cost Summary</t>
  </si>
  <si>
    <t>Total Unit Cost</t>
  </si>
  <si>
    <t>$/Hd/ Out</t>
  </si>
  <si>
    <t>Wt./Head `</t>
  </si>
  <si>
    <t>Interest</t>
  </si>
  <si>
    <t>Other</t>
  </si>
  <si>
    <t xml:space="preserve">% of Costs </t>
  </si>
  <si>
    <t xml:space="preserve">   Percent Borrowed and Cost of Capital</t>
  </si>
  <si>
    <t>Projected Finance Cost</t>
  </si>
  <si>
    <t>Total Annualized</t>
  </si>
  <si>
    <t>Investment</t>
  </si>
  <si>
    <t>Financial Rate</t>
  </si>
  <si>
    <t>Cash Flow Required</t>
  </si>
  <si>
    <t xml:space="preserve">     Amount</t>
  </si>
  <si>
    <t>Total Cash Borrowed</t>
  </si>
  <si>
    <t xml:space="preserve">   Annualized</t>
  </si>
  <si>
    <t>Financial Interest Cost Adj for % Borrowed</t>
  </si>
  <si>
    <t>__________________________________________________________________________________________</t>
  </si>
  <si>
    <t xml:space="preserve">Investment </t>
  </si>
  <si>
    <t xml:space="preserve">   Per Head</t>
  </si>
  <si>
    <t>Total Unit Costs (TUC)</t>
  </si>
  <si>
    <t>Value of Gain</t>
  </si>
  <si>
    <t xml:space="preserve">*This is the traditional reported cost of feedyard including feed, yardage, processing, health and other direct feedyard expensed </t>
  </si>
  <si>
    <t>**Due to rounding error there will be a slight error in the value calculated.</t>
  </si>
  <si>
    <t>***Economic costs include an opportunity cost for capital invested in total production costs.</t>
  </si>
  <si>
    <t xml:space="preserve">Net Payweight Cost </t>
  </si>
  <si>
    <t>Margins</t>
  </si>
  <si>
    <t xml:space="preserve">      Yield %</t>
  </si>
  <si>
    <t xml:space="preserve">                      Net Margin (or Net Income)</t>
  </si>
  <si>
    <t>Gross Gain &amp; ADG</t>
  </si>
  <si>
    <t>Gain / Hd. Out</t>
  </si>
  <si>
    <t>Freight to Packer</t>
  </si>
  <si>
    <t>Economic Cost - With Opportunity Cost on Investment***</t>
  </si>
  <si>
    <t>Financial Cost</t>
  </si>
  <si>
    <t>Leverage Index</t>
  </si>
  <si>
    <t>Price Roll Back</t>
  </si>
  <si>
    <t>Total Cost of Feeder Cattle - Head In</t>
  </si>
  <si>
    <t>$/Hd. In</t>
  </si>
  <si>
    <t>$/Cwt. Out</t>
  </si>
  <si>
    <t>Value of Gain $/Cwt.</t>
  </si>
  <si>
    <t>Net Sales</t>
  </si>
  <si>
    <t>Calculated Economic Measures</t>
  </si>
  <si>
    <t>Feeder Price to Finish Roll Back $/Cwt.</t>
  </si>
  <si>
    <t>Production Measures Calculated</t>
  </si>
  <si>
    <t>Feeder In Payweight - Lb./Head</t>
  </si>
  <si>
    <t>Net Payweight Gain On Head Out</t>
  </si>
  <si>
    <t>Breed</t>
  </si>
  <si>
    <t>Projected Cattle Performance Data and Calculated Values</t>
  </si>
  <si>
    <t xml:space="preserve">Net Weight/Day </t>
  </si>
  <si>
    <t>Sales Date</t>
  </si>
  <si>
    <t>Price That Can Be Paid for Feeder Cover TUC</t>
  </si>
  <si>
    <t>Non Cattle</t>
  </si>
  <si>
    <t>Net Gain</t>
  </si>
  <si>
    <t>Lot Number</t>
  </si>
  <si>
    <t>Feed and Other Non-Cattle Direct Cost</t>
  </si>
  <si>
    <t>Out Date</t>
  </si>
  <si>
    <t>Market Basis Adjustment If Applicable (+/-)</t>
  </si>
  <si>
    <t>Cost of Gain $/Cwt. (Total Unit Cost - Cost of Feeder)  $/Cwt.</t>
  </si>
  <si>
    <t xml:space="preserve">Net Payweight ADG and Net Gain </t>
  </si>
  <si>
    <t xml:space="preserve">Lb./Day &amp; Head </t>
  </si>
  <si>
    <t>Miles Shipped</t>
  </si>
  <si>
    <t xml:space="preserve">Gross Cattle Cost (Price) After Discount or Premium </t>
  </si>
  <si>
    <r>
      <t>Gross Payweight Cost In-</t>
    </r>
    <r>
      <rPr>
        <b/>
        <sz val="12"/>
        <rFont val="Arial"/>
        <family val="2"/>
      </rPr>
      <t xml:space="preserve"> See Price Slide Below</t>
    </r>
  </si>
  <si>
    <r>
      <t xml:space="preserve">Gross Payweight Price Out- </t>
    </r>
    <r>
      <rPr>
        <b/>
        <sz val="12"/>
        <rFont val="Arial"/>
        <family val="2"/>
      </rPr>
      <t>See Price Slide Below</t>
    </r>
  </si>
  <si>
    <t>Yield</t>
  </si>
  <si>
    <t>Carcass Weight - Hot Wt.</t>
  </si>
  <si>
    <r>
      <t xml:space="preserve">Necessary Live Price </t>
    </r>
    <r>
      <rPr>
        <b/>
        <sz val="8"/>
        <rFont val="Arial"/>
        <family val="2"/>
      </rPr>
      <t xml:space="preserve"> </t>
    </r>
    <r>
      <rPr>
        <b/>
        <sz val="12"/>
        <rFont val="Arial"/>
        <family val="2"/>
      </rPr>
      <t>to Cover TUC &amp; Marketing Cost</t>
    </r>
  </si>
  <si>
    <t xml:space="preserve">Necessary Carcass Price to Cover TUC &amp; Marketing Cost </t>
  </si>
  <si>
    <r>
      <t xml:space="preserve">Necessary Carcass Price </t>
    </r>
    <r>
      <rPr>
        <b/>
        <sz val="10"/>
        <rFont val="Arial"/>
        <family val="2"/>
      </rPr>
      <t>to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Cover, Marketing, TUC &amp; Cap. Opp. Cost </t>
    </r>
  </si>
  <si>
    <t>Necessary Live Price to Cover, Marketing, TUC &amp; Capital Opp. Cost            %</t>
  </si>
  <si>
    <t>Price That Can Be Paid for Feeder Cover TUC &amp; Marketing**</t>
  </si>
  <si>
    <t>Does not include freight and other finished cattle marketing cost</t>
  </si>
  <si>
    <r>
      <t>Necessary Carcass Price to Cover TUC &amp; Marketing</t>
    </r>
    <r>
      <rPr>
        <b/>
        <sz val="8"/>
        <rFont val="Arial"/>
        <family val="2"/>
      </rPr>
      <t xml:space="preserve"> </t>
    </r>
    <r>
      <rPr>
        <b/>
        <sz val="12"/>
        <rFont val="Arial"/>
        <family val="2"/>
      </rPr>
      <t>Cost</t>
    </r>
  </si>
  <si>
    <t>Necessary Carcass Price for Target ROI*</t>
  </si>
  <si>
    <t>*Cover marketing, total unit cost (TUC) and return to capital.</t>
  </si>
  <si>
    <t>Economic Cost Opportunity Cost or Target Return</t>
  </si>
  <si>
    <t>Necessary Live Price  to Cover TUC &amp; Marketing Cost</t>
  </si>
  <si>
    <t>Net Payweight Out</t>
  </si>
  <si>
    <t>Divisor</t>
  </si>
  <si>
    <t>Prior Management</t>
  </si>
  <si>
    <t>Feeder In Date</t>
  </si>
  <si>
    <r>
      <t xml:space="preserve">Net Payweight Sales Price $/Cwt. </t>
    </r>
    <r>
      <rPr>
        <b/>
        <sz val="10"/>
        <rFont val="Arial"/>
        <family val="2"/>
      </rPr>
      <t>(Net of marketing costs)</t>
    </r>
  </si>
  <si>
    <t>Net of marketing costs.</t>
  </si>
  <si>
    <t>Includes marketing costs.</t>
  </si>
  <si>
    <t>Over Payment for Feeder $/Cwt.</t>
  </si>
  <si>
    <t xml:space="preserve">Necessary Live Price to Cover TUC &amp; Marketing Cost </t>
  </si>
  <si>
    <t>&lt;---------</t>
  </si>
  <si>
    <t>Full cost breakeven</t>
  </si>
  <si>
    <t>Return to capital</t>
  </si>
  <si>
    <t>Futures Market</t>
  </si>
  <si>
    <t xml:space="preserve">Other Cost  or  Premium </t>
  </si>
  <si>
    <t>TX</t>
  </si>
  <si>
    <t xml:space="preserve">Birth Weight </t>
  </si>
  <si>
    <t>Birth  Date</t>
  </si>
  <si>
    <t>Days of Age</t>
  </si>
  <si>
    <t>Death Loss Adjusted</t>
  </si>
  <si>
    <t>Cost of Gain</t>
  </si>
  <si>
    <t xml:space="preserve">                                                                  Cattle Origin </t>
  </si>
  <si>
    <t xml:space="preserve">                                                                    Feed Yard</t>
  </si>
  <si>
    <t xml:space="preserve">Custom Cattle Finishing Profit Projection </t>
  </si>
  <si>
    <t>_______________________________________________________________________________________________________________________</t>
  </si>
  <si>
    <t xml:space="preserve"> % of</t>
  </si>
  <si>
    <t xml:space="preserve"> TUC</t>
  </si>
  <si>
    <t>Finished</t>
  </si>
  <si>
    <t>Cost of Gain $/Pound</t>
  </si>
  <si>
    <t>Cost of Net Payweight Gain**</t>
  </si>
  <si>
    <t>Dairy Cross</t>
  </si>
  <si>
    <t xml:space="preserve">    but does not include owner interest, G &amp; A or management included in total unit cost (TUC).</t>
  </si>
  <si>
    <t>Processing and Medical</t>
  </si>
  <si>
    <t>Indirect Cost - (G&amp;A) &amp; Management</t>
  </si>
  <si>
    <t>Indirect Cost - General Administrative Cost (G&amp;A) &amp; Management</t>
  </si>
  <si>
    <t>Non-feed cost of gain</t>
  </si>
  <si>
    <t>Gain</t>
  </si>
  <si>
    <t>$/Lb. Gain</t>
  </si>
  <si>
    <t>Indirect Costs</t>
  </si>
  <si>
    <t>Feeding Cost as Percent of Net Payweight Gain %</t>
  </si>
  <si>
    <t>Feeding Cost of Gain</t>
  </si>
  <si>
    <t>Estimated</t>
  </si>
  <si>
    <t>Net Finished Out Payweight - Lb./Head</t>
  </si>
  <si>
    <t>Death Loss %</t>
  </si>
  <si>
    <t>Estimate Carcass Yield for Projection</t>
  </si>
  <si>
    <t>Net Out Weight After Shrink &amp; Death Loss and Days Fed</t>
  </si>
  <si>
    <t>Gross Weight Before Shrink and Death Loss</t>
  </si>
  <si>
    <t xml:space="preserve">Net Average Daily Gain - ADG </t>
  </si>
  <si>
    <t>Opportunity Cost Interest Rate or Target Rate of Return %</t>
  </si>
  <si>
    <t xml:space="preserve">        Out Wt.</t>
  </si>
  <si>
    <t>Indirect-Mgmt. &amp; G&amp;A</t>
  </si>
  <si>
    <r>
      <rPr>
        <b/>
        <sz val="11"/>
        <rFont val="Arial"/>
        <family val="2"/>
      </rPr>
      <t>Annualized Return on Investment-R</t>
    </r>
    <r>
      <rPr>
        <b/>
        <sz val="12"/>
        <rFont val="Arial"/>
        <family val="2"/>
      </rPr>
      <t xml:space="preserve">OI  </t>
    </r>
  </si>
  <si>
    <t>Number of Head In</t>
  </si>
  <si>
    <t>Number of Cattle In</t>
  </si>
  <si>
    <t>Feeder Cattle In</t>
  </si>
  <si>
    <t>Total Unit Cost -TUC  $/Cwt</t>
  </si>
  <si>
    <t>Net Total Sales</t>
  </si>
  <si>
    <t>Day-Old Calf Cost as % of Total Cost of Production</t>
  </si>
  <si>
    <t>*Is the opportunity Cost of not selling the day-old calf.</t>
  </si>
  <si>
    <t>Transferred In Feeder Total Cost In - $/Head*</t>
  </si>
  <si>
    <t>Feeder as % of Total Cost of Production</t>
  </si>
  <si>
    <t xml:space="preserve">Finishes Cattle TUC </t>
  </si>
  <si>
    <t>Day-Old Calf Cost - $/Head*</t>
  </si>
  <si>
    <t>Value of Gain = ((Total Income - Total Cattle Cost)/Net Gain)</t>
  </si>
  <si>
    <t>Cost of gain is the sum of all non-cattle cost divided by net weight gain.</t>
  </si>
  <si>
    <t>Holstein-Angus Cross</t>
  </si>
  <si>
    <t>&lt;---Weight before shrink &amp; death loss</t>
  </si>
  <si>
    <t>Process, Vet Med.</t>
  </si>
  <si>
    <t>Steers</t>
  </si>
  <si>
    <t>Accumulated Retained Feeder Costs</t>
  </si>
  <si>
    <t xml:space="preserve">  Dressing %</t>
  </si>
  <si>
    <r>
      <t>Choice of Cost to use enter:</t>
    </r>
    <r>
      <rPr>
        <sz val="11"/>
        <rFont val="Arial"/>
        <family val="2"/>
      </rPr>
      <t>1.If remained cost. 2.If slide price.</t>
    </r>
  </si>
  <si>
    <t>Angus-Holstein</t>
  </si>
  <si>
    <t>Fees</t>
  </si>
  <si>
    <t>Net income per head.</t>
  </si>
  <si>
    <t>Adjusted for death loss.</t>
  </si>
  <si>
    <t>Adjusted for death losses.</t>
  </si>
  <si>
    <t xml:space="preserve">Average Daily Gain - Net and Before Death Loss </t>
  </si>
  <si>
    <t>Angus-Holstein cross - Used accumulated cost as in cost.</t>
  </si>
  <si>
    <t>Angus-Holstein feeder cross retained from day-old calf.</t>
  </si>
  <si>
    <t>Such a long feeding period makes pricing difficult!</t>
  </si>
  <si>
    <t>1-5-2021  Version</t>
  </si>
  <si>
    <t>Feed</t>
  </si>
  <si>
    <t xml:space="preserve">Total Cost of Gain-Gain/Hd. Cost of Net Gain </t>
  </si>
  <si>
    <t>Total Net Gain</t>
  </si>
  <si>
    <t>Total Direct Cost Cattle &amp; Feeding**</t>
  </si>
  <si>
    <t xml:space="preserve">   Per Head In</t>
  </si>
  <si>
    <t xml:space="preserve">     Borrowed</t>
  </si>
  <si>
    <t>Lb. of Gain</t>
  </si>
  <si>
    <t>Did not have the data to price the cattle.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</si>
</sst>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dd\-mmm\-yy_)"/>
    <numFmt numFmtId="166" formatCode="0_)"/>
    <numFmt numFmtId="167" formatCode="0.0"/>
    <numFmt numFmtId="168" formatCode="&quot;$&quot;#,##0.00"/>
    <numFmt numFmtId="169" formatCode="0.0_)"/>
    <numFmt numFmtId="170" formatCode="&quot;$&quot;#,##0"/>
    <numFmt numFmtId="171" formatCode="[$$-409]#,##0.00_);\([$$-409]#,##0.00\)"/>
    <numFmt numFmtId="172" formatCode="[$$-409]#,##0.00_);[Red]\([$$-409]#,##0.00\)"/>
    <numFmt numFmtId="173" formatCode="[$$-409]#,##0.00"/>
    <numFmt numFmtId="174" formatCode="0.000"/>
    <numFmt numFmtId="175" formatCode="_(* #,##0_);_(* \(#,##0\);_(* &quot;-&quot;??_);_(@_)"/>
    <numFmt numFmtId="176" formatCode="[$$-409]#,##0"/>
    <numFmt numFmtId="177" formatCode="0.0_);\(0.0\)"/>
    <numFmt numFmtId="178" formatCode="0_);\(0\)"/>
    <numFmt numFmtId="179" formatCode="0.00_);\(0.00\)"/>
    <numFmt numFmtId="180" formatCode="[$$-409]#,##0_);[Red]\([$$-409]#,##0\)"/>
    <numFmt numFmtId="181" formatCode="[$-409]d\-mmm\-yy;@"/>
    <numFmt numFmtId="182" formatCode="0.0%"/>
    <numFmt numFmtId="183" formatCode="[$$-409]#,##0.000_);\([$$-409]#,##0.000\)"/>
  </numFmts>
  <fonts count="3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3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2"/>
      <color indexed="3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indexed="12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71">
    <xf numFmtId="0" fontId="0" fillId="0" borderId="0" xfId="0"/>
    <xf numFmtId="0" fontId="2" fillId="0" borderId="0" xfId="0" applyFont="1"/>
    <xf numFmtId="166" fontId="6" fillId="0" borderId="0" xfId="0" applyNumberFormat="1" applyFont="1" applyProtection="1"/>
    <xf numFmtId="7" fontId="0" fillId="0" borderId="0" xfId="0" applyNumberFormat="1" applyProtection="1"/>
    <xf numFmtId="3" fontId="0" fillId="0" borderId="0" xfId="0" applyNumberFormat="1"/>
    <xf numFmtId="168" fontId="6" fillId="0" borderId="0" xfId="0" applyNumberFormat="1" applyFont="1"/>
    <xf numFmtId="0" fontId="2" fillId="0" borderId="0" xfId="0" applyFont="1" applyAlignment="1">
      <alignment horizontal="center"/>
    </xf>
    <xf numFmtId="5" fontId="2" fillId="0" borderId="0" xfId="0" applyNumberFormat="1" applyFont="1" applyProtection="1"/>
    <xf numFmtId="0" fontId="5" fillId="0" borderId="0" xfId="0" applyFont="1"/>
    <xf numFmtId="169" fontId="4" fillId="2" borderId="1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166" fontId="4" fillId="2" borderId="1" xfId="0" applyNumberFormat="1" applyFont="1" applyFill="1" applyBorder="1" applyProtection="1">
      <protection locked="0"/>
    </xf>
    <xf numFmtId="7" fontId="2" fillId="0" borderId="0" xfId="0" applyNumberFormat="1" applyFont="1" applyProtection="1"/>
    <xf numFmtId="0" fontId="6" fillId="0" borderId="0" xfId="0" applyFont="1"/>
    <xf numFmtId="0" fontId="6" fillId="0" borderId="0" xfId="0" applyFont="1" applyProtection="1"/>
    <xf numFmtId="7" fontId="6" fillId="0" borderId="0" xfId="0" applyNumberFormat="1" applyFont="1" applyProtection="1"/>
    <xf numFmtId="0" fontId="6" fillId="0" borderId="0" xfId="0" applyFont="1" applyAlignment="1">
      <alignment horizontal="center"/>
    </xf>
    <xf numFmtId="171" fontId="6" fillId="0" borderId="0" xfId="0" applyNumberFormat="1" applyFont="1" applyProtection="1"/>
    <xf numFmtId="0" fontId="2" fillId="0" borderId="0" xfId="0" applyFont="1" applyAlignment="1">
      <alignment horizontal="fill"/>
    </xf>
    <xf numFmtId="172" fontId="0" fillId="0" borderId="0" xfId="0" applyNumberFormat="1"/>
    <xf numFmtId="7" fontId="0" fillId="0" borderId="0" xfId="0" applyNumberFormat="1"/>
    <xf numFmtId="0" fontId="8" fillId="0" borderId="0" xfId="0" applyFont="1"/>
    <xf numFmtId="0" fontId="3" fillId="0" borderId="0" xfId="0" applyFont="1"/>
    <xf numFmtId="0" fontId="7" fillId="0" borderId="0" xfId="0" applyFont="1" applyProtection="1">
      <protection locked="0"/>
    </xf>
    <xf numFmtId="0" fontId="5" fillId="0" borderId="0" xfId="0" applyFont="1" applyAlignment="1">
      <alignment horizontal="center" vertical="center"/>
    </xf>
    <xf numFmtId="15" fontId="6" fillId="0" borderId="0" xfId="0" applyNumberFormat="1" applyFont="1"/>
    <xf numFmtId="172" fontId="6" fillId="0" borderId="0" xfId="0" applyNumberFormat="1" applyFont="1"/>
    <xf numFmtId="166" fontId="6" fillId="0" borderId="0" xfId="0" applyNumberFormat="1" applyFont="1"/>
    <xf numFmtId="166" fontId="6" fillId="0" borderId="0" xfId="0" applyNumberFormat="1" applyFont="1" applyAlignment="1">
      <alignment horizontal="left" indent="6"/>
    </xf>
    <xf numFmtId="166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7" fontId="4" fillId="0" borderId="1" xfId="0" applyNumberFormat="1" applyFont="1" applyBorder="1" applyProtection="1">
      <protection locked="0"/>
    </xf>
    <xf numFmtId="5" fontId="6" fillId="0" borderId="0" xfId="0" applyNumberFormat="1" applyFont="1" applyProtection="1"/>
    <xf numFmtId="0" fontId="6" fillId="0" borderId="0" xfId="0" quotePrefix="1" applyFont="1" applyAlignment="1">
      <alignment horizontal="center"/>
    </xf>
    <xf numFmtId="10" fontId="6" fillId="0" borderId="0" xfId="0" applyNumberFormat="1" applyFont="1" applyProtection="1"/>
    <xf numFmtId="7" fontId="6" fillId="0" borderId="0" xfId="0" applyNumberFormat="1" applyFont="1"/>
    <xf numFmtId="0" fontId="12" fillId="0" borderId="0" xfId="0" applyFont="1"/>
    <xf numFmtId="0" fontId="5" fillId="0" borderId="0" xfId="0" applyFont="1" applyAlignment="1">
      <alignment horizontal="left"/>
    </xf>
    <xf numFmtId="7" fontId="11" fillId="2" borderId="0" xfId="0" applyNumberFormat="1" applyFont="1" applyFill="1" applyProtection="1"/>
    <xf numFmtId="37" fontId="4" fillId="0" borderId="1" xfId="0" applyNumberFormat="1" applyFont="1" applyBorder="1" applyProtection="1">
      <protection locked="0"/>
    </xf>
    <xf numFmtId="7" fontId="2" fillId="0" borderId="0" xfId="0" applyNumberFormat="1" applyFont="1"/>
    <xf numFmtId="7" fontId="6" fillId="0" borderId="0" xfId="0" applyNumberFormat="1" applyFont="1" applyBorder="1"/>
    <xf numFmtId="179" fontId="4" fillId="2" borderId="1" xfId="0" applyNumberFormat="1" applyFont="1" applyFill="1" applyBorder="1" applyProtection="1">
      <protection locked="0"/>
    </xf>
    <xf numFmtId="7" fontId="7" fillId="0" borderId="0" xfId="0" applyNumberFormat="1" applyFont="1" applyProtection="1">
      <protection locked="0"/>
    </xf>
    <xf numFmtId="178" fontId="7" fillId="0" borderId="0" xfId="0" applyNumberFormat="1" applyFont="1" applyProtection="1">
      <protection locked="0"/>
    </xf>
    <xf numFmtId="166" fontId="4" fillId="0" borderId="2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1" fontId="5" fillId="0" borderId="0" xfId="0" applyNumberFormat="1" applyFont="1"/>
    <xf numFmtId="37" fontId="6" fillId="0" borderId="0" xfId="0" applyNumberFormat="1" applyFont="1"/>
    <xf numFmtId="7" fontId="6" fillId="0" borderId="0" xfId="0" applyNumberFormat="1" applyFont="1" applyBorder="1" applyProtection="1"/>
    <xf numFmtId="175" fontId="11" fillId="0" borderId="0" xfId="1" applyNumberFormat="1" applyFont="1" applyBorder="1" applyProtection="1"/>
    <xf numFmtId="171" fontId="2" fillId="0" borderId="0" xfId="0" applyNumberFormat="1" applyFont="1" applyProtection="1"/>
    <xf numFmtId="7" fontId="5" fillId="0" borderId="0" xfId="0" applyNumberFormat="1" applyFont="1"/>
    <xf numFmtId="0" fontId="6" fillId="0" borderId="0" xfId="0" applyFont="1" applyBorder="1" applyProtection="1"/>
    <xf numFmtId="0" fontId="6" fillId="0" borderId="0" xfId="0" applyFont="1" applyFill="1"/>
    <xf numFmtId="0" fontId="14" fillId="0" borderId="0" xfId="0" applyFont="1"/>
    <xf numFmtId="181" fontId="6" fillId="0" borderId="0" xfId="0" applyNumberFormat="1" applyFont="1" applyBorder="1" applyProtection="1"/>
    <xf numFmtId="8" fontId="6" fillId="0" borderId="0" xfId="0" applyNumberFormat="1" applyFont="1" applyBorder="1" applyProtection="1"/>
    <xf numFmtId="5" fontId="2" fillId="0" borderId="0" xfId="0" applyNumberFormat="1" applyFont="1" applyFill="1" applyProtection="1"/>
    <xf numFmtId="168" fontId="6" fillId="0" borderId="0" xfId="0" applyNumberFormat="1" applyFont="1" applyFill="1"/>
    <xf numFmtId="7" fontId="6" fillId="0" borderId="0" xfId="0" applyNumberFormat="1" applyFont="1" applyFill="1" applyProtection="1"/>
    <xf numFmtId="166" fontId="6" fillId="0" borderId="0" xfId="0" applyNumberFormat="1" applyFont="1" applyFill="1" applyProtection="1"/>
    <xf numFmtId="0" fontId="16" fillId="0" borderId="0" xfId="0" applyFont="1" applyAlignment="1">
      <alignment horizontal="center"/>
    </xf>
    <xf numFmtId="0" fontId="6" fillId="0" borderId="0" xfId="3"/>
    <xf numFmtId="0" fontId="2" fillId="3" borderId="0" xfId="0" applyFont="1" applyFill="1"/>
    <xf numFmtId="0" fontId="2" fillId="3" borderId="0" xfId="0" applyFont="1" applyFill="1" applyAlignment="1">
      <alignment horizontal="center"/>
    </xf>
    <xf numFmtId="7" fontId="2" fillId="3" borderId="0" xfId="0" applyNumberFormat="1" applyFont="1" applyFill="1" applyAlignment="1">
      <alignment horizontal="right"/>
    </xf>
    <xf numFmtId="3" fontId="12" fillId="0" borderId="0" xfId="0" applyNumberFormat="1" applyFont="1"/>
    <xf numFmtId="175" fontId="5" fillId="0" borderId="0" xfId="0" applyNumberFormat="1" applyFont="1"/>
    <xf numFmtId="0" fontId="0" fillId="0" borderId="0" xfId="0" applyFill="1"/>
    <xf numFmtId="0" fontId="4" fillId="0" borderId="0" xfId="0" applyFont="1" applyFill="1" applyBorder="1"/>
    <xf numFmtId="0" fontId="2" fillId="0" borderId="0" xfId="0" applyFont="1" applyFill="1" applyAlignment="1">
      <alignment horizontal="center"/>
    </xf>
    <xf numFmtId="0" fontId="6" fillId="3" borderId="0" xfId="0" applyFont="1" applyFill="1"/>
    <xf numFmtId="5" fontId="2" fillId="3" borderId="0" xfId="0" applyNumberFormat="1" applyFont="1" applyFill="1" applyProtection="1"/>
    <xf numFmtId="0" fontId="2" fillId="0" borderId="0" xfId="0" applyFont="1" applyProtection="1"/>
    <xf numFmtId="5" fontId="2" fillId="0" borderId="0" xfId="0" applyNumberFormat="1" applyFont="1"/>
    <xf numFmtId="7" fontId="2" fillId="0" borderId="0" xfId="0" applyNumberFormat="1" applyFont="1" applyProtection="1">
      <protection locked="0"/>
    </xf>
    <xf numFmtId="0" fontId="14" fillId="0" borderId="0" xfId="3" applyFont="1"/>
    <xf numFmtId="0" fontId="18" fillId="0" borderId="0" xfId="3" applyFont="1"/>
    <xf numFmtId="2" fontId="14" fillId="0" borderId="0" xfId="0" applyNumberFormat="1" applyFont="1"/>
    <xf numFmtId="5" fontId="2" fillId="3" borderId="0" xfId="0" applyNumberFormat="1" applyFont="1" applyFill="1"/>
    <xf numFmtId="0" fontId="2" fillId="0" borderId="0" xfId="0" quotePrefix="1" applyFont="1" applyAlignment="1">
      <alignment horizontal="center"/>
    </xf>
    <xf numFmtId="175" fontId="2" fillId="0" borderId="0" xfId="1" applyNumberFormat="1" applyFont="1" applyProtection="1"/>
    <xf numFmtId="0" fontId="13" fillId="0" borderId="0" xfId="0" applyFont="1" applyAlignment="1">
      <alignment horizontal="center"/>
    </xf>
    <xf numFmtId="7" fontId="4" fillId="0" borderId="0" xfId="0" applyNumberFormat="1" applyFont="1" applyBorder="1" applyProtection="1">
      <protection locked="0"/>
    </xf>
    <xf numFmtId="175" fontId="6" fillId="0" borderId="0" xfId="1" applyNumberFormat="1" applyFont="1" applyAlignment="1" applyProtection="1"/>
    <xf numFmtId="2" fontId="6" fillId="0" borderId="0" xfId="0" applyNumberFormat="1" applyFont="1" applyFill="1" applyProtection="1"/>
    <xf numFmtId="180" fontId="0" fillId="0" borderId="0" xfId="0" applyNumberFormat="1"/>
    <xf numFmtId="7" fontId="5" fillId="0" borderId="0" xfId="0" applyNumberFormat="1" applyFont="1" applyAlignment="1">
      <alignment horizontal="right"/>
    </xf>
    <xf numFmtId="0" fontId="18" fillId="0" borderId="4" xfId="0" applyFont="1" applyBorder="1"/>
    <xf numFmtId="2" fontId="14" fillId="0" borderId="5" xfId="0" applyNumberFormat="1" applyFont="1" applyBorder="1"/>
    <xf numFmtId="0" fontId="14" fillId="0" borderId="5" xfId="0" applyFont="1" applyBorder="1"/>
    <xf numFmtId="0" fontId="14" fillId="0" borderId="6" xfId="0" applyFont="1" applyBorder="1"/>
    <xf numFmtId="166" fontId="14" fillId="0" borderId="7" xfId="0" applyNumberFormat="1" applyFont="1" applyBorder="1"/>
    <xf numFmtId="0" fontId="14" fillId="0" borderId="0" xfId="0" applyFont="1" applyBorder="1"/>
    <xf numFmtId="0" fontId="14" fillId="0" borderId="8" xfId="0" applyFont="1" applyBorder="1"/>
    <xf numFmtId="2" fontId="14" fillId="0" borderId="7" xfId="0" applyNumberFormat="1" applyFont="1" applyBorder="1"/>
    <xf numFmtId="176" fontId="14" fillId="0" borderId="7" xfId="0" applyNumberFormat="1" applyFont="1" applyBorder="1"/>
    <xf numFmtId="176" fontId="14" fillId="0" borderId="7" xfId="1" applyNumberFormat="1" applyFont="1" applyBorder="1" applyProtection="1"/>
    <xf numFmtId="179" fontId="14" fillId="0" borderId="0" xfId="0" applyNumberFormat="1" applyFont="1" applyBorder="1"/>
    <xf numFmtId="176" fontId="14" fillId="0" borderId="9" xfId="0" applyNumberFormat="1" applyFont="1" applyBorder="1" applyProtection="1"/>
    <xf numFmtId="0" fontId="14" fillId="0" borderId="10" xfId="0" applyFont="1" applyBorder="1"/>
    <xf numFmtId="0" fontId="14" fillId="0" borderId="11" xfId="0" applyFont="1" applyBorder="1"/>
    <xf numFmtId="0" fontId="18" fillId="0" borderId="7" xfId="0" applyFont="1" applyBorder="1" applyAlignment="1">
      <alignment horizontal="center"/>
    </xf>
    <xf numFmtId="9" fontId="2" fillId="0" borderId="0" xfId="4" applyFont="1"/>
    <xf numFmtId="182" fontId="6" fillId="0" borderId="0" xfId="4" applyNumberFormat="1" applyFont="1" applyBorder="1" applyProtection="1"/>
    <xf numFmtId="2" fontId="6" fillId="0" borderId="0" xfId="0" applyNumberFormat="1" applyFont="1" applyBorder="1" applyProtection="1"/>
    <xf numFmtId="179" fontId="7" fillId="0" borderId="3" xfId="0" applyNumberFormat="1" applyFont="1" applyBorder="1" applyProtection="1">
      <protection locked="0"/>
    </xf>
    <xf numFmtId="177" fontId="7" fillId="0" borderId="1" xfId="0" applyNumberFormat="1" applyFont="1" applyBorder="1" applyProtection="1">
      <protection locked="0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3" xfId="0" applyFont="1" applyFill="1" applyBorder="1" applyAlignment="1" applyProtection="1">
      <alignment horizontal="left"/>
      <protection locked="0"/>
    </xf>
    <xf numFmtId="179" fontId="6" fillId="0" borderId="0" xfId="0" applyNumberFormat="1" applyFont="1" applyFill="1"/>
    <xf numFmtId="175" fontId="6" fillId="0" borderId="0" xfId="1" applyNumberFormat="1" applyFont="1" applyFill="1"/>
    <xf numFmtId="175" fontId="5" fillId="0" borderId="0" xfId="0" applyNumberFormat="1" applyFont="1" applyFill="1"/>
    <xf numFmtId="170" fontId="0" fillId="0" borderId="0" xfId="0" applyNumberFormat="1" applyFill="1"/>
    <xf numFmtId="0" fontId="2" fillId="3" borderId="0" xfId="0" applyFont="1" applyFill="1" applyProtection="1"/>
    <xf numFmtId="0" fontId="4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178" fontId="5" fillId="3" borderId="0" xfId="0" applyNumberFormat="1" applyFont="1" applyFill="1"/>
    <xf numFmtId="0" fontId="5" fillId="3" borderId="0" xfId="0" applyFont="1" applyFill="1"/>
    <xf numFmtId="7" fontId="2" fillId="3" borderId="0" xfId="0" applyNumberFormat="1" applyFont="1" applyFill="1"/>
    <xf numFmtId="7" fontId="2" fillId="3" borderId="0" xfId="0" applyNumberFormat="1" applyFont="1" applyFill="1" applyAlignment="1" applyProtection="1">
      <alignment horizontal="right"/>
    </xf>
    <xf numFmtId="0" fontId="6" fillId="3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7" fontId="2" fillId="3" borderId="0" xfId="0" applyNumberFormat="1" applyFont="1" applyFill="1" applyProtection="1"/>
    <xf numFmtId="0" fontId="12" fillId="3" borderId="0" xfId="0" applyFont="1" applyFill="1"/>
    <xf numFmtId="8" fontId="2" fillId="3" borderId="0" xfId="4" applyNumberFormat="1" applyFont="1" applyFill="1"/>
    <xf numFmtId="172" fontId="2" fillId="0" borderId="0" xfId="0" applyNumberFormat="1" applyFont="1" applyProtection="1"/>
    <xf numFmtId="175" fontId="6" fillId="0" borderId="0" xfId="1" applyNumberFormat="1" applyFont="1" applyBorder="1" applyAlignment="1" applyProtection="1">
      <alignment horizontal="right"/>
    </xf>
    <xf numFmtId="8" fontId="5" fillId="0" borderId="0" xfId="0" applyNumberFormat="1" applyFont="1"/>
    <xf numFmtId="5" fontId="5" fillId="0" borderId="0" xfId="0" applyNumberFormat="1" applyFont="1"/>
    <xf numFmtId="3" fontId="5" fillId="0" borderId="0" xfId="0" applyNumberFormat="1" applyFont="1"/>
    <xf numFmtId="8" fontId="2" fillId="0" borderId="0" xfId="0" applyNumberFormat="1" applyFont="1"/>
    <xf numFmtId="168" fontId="0" fillId="0" borderId="0" xfId="0" applyNumberFormat="1"/>
    <xf numFmtId="0" fontId="18" fillId="0" borderId="4" xfId="3" applyFont="1" applyFill="1" applyBorder="1"/>
    <xf numFmtId="7" fontId="12" fillId="3" borderId="0" xfId="0" applyNumberFormat="1" applyFont="1" applyFill="1"/>
    <xf numFmtId="173" fontId="12" fillId="3" borderId="0" xfId="0" applyNumberFormat="1" applyFont="1" applyFill="1"/>
    <xf numFmtId="0" fontId="14" fillId="0" borderId="5" xfId="3" applyFont="1" applyBorder="1" applyProtection="1"/>
    <xf numFmtId="0" fontId="18" fillId="0" borderId="5" xfId="3" applyFont="1" applyBorder="1" applyProtection="1"/>
    <xf numFmtId="0" fontId="14" fillId="0" borderId="6" xfId="3" applyFont="1" applyBorder="1"/>
    <xf numFmtId="8" fontId="14" fillId="0" borderId="7" xfId="2" applyNumberFormat="1" applyFont="1" applyBorder="1" applyAlignment="1" applyProtection="1">
      <alignment horizontal="right"/>
    </xf>
    <xf numFmtId="0" fontId="14" fillId="0" borderId="0" xfId="3" applyFont="1" applyBorder="1" applyAlignment="1" applyProtection="1">
      <alignment horizontal="left"/>
    </xf>
    <xf numFmtId="0" fontId="18" fillId="0" borderId="0" xfId="3" applyFont="1" applyBorder="1" applyProtection="1"/>
    <xf numFmtId="6" fontId="14" fillId="0" borderId="0" xfId="3" applyNumberFormat="1" applyFont="1" applyBorder="1" applyAlignment="1" applyProtection="1">
      <alignment horizontal="right"/>
    </xf>
    <xf numFmtId="0" fontId="14" fillId="0" borderId="0" xfId="3" applyFont="1" applyBorder="1" applyAlignment="1">
      <alignment horizontal="left"/>
    </xf>
    <xf numFmtId="0" fontId="18" fillId="0" borderId="8" xfId="3" applyFont="1" applyBorder="1"/>
    <xf numFmtId="175" fontId="14" fillId="0" borderId="7" xfId="1" applyNumberFormat="1" applyFont="1" applyBorder="1" applyAlignment="1" applyProtection="1">
      <alignment horizontal="right"/>
    </xf>
    <xf numFmtId="8" fontId="14" fillId="0" borderId="0" xfId="3" applyNumberFormat="1" applyFont="1" applyBorder="1" applyProtection="1"/>
    <xf numFmtId="1" fontId="14" fillId="0" borderId="9" xfId="3" applyNumberFormat="1" applyFont="1" applyBorder="1" applyProtection="1"/>
    <xf numFmtId="0" fontId="14" fillId="0" borderId="10" xfId="3" applyFont="1" applyBorder="1" applyProtection="1"/>
    <xf numFmtId="8" fontId="14" fillId="0" borderId="10" xfId="3" applyNumberFormat="1" applyFont="1" applyBorder="1" applyProtection="1"/>
    <xf numFmtId="0" fontId="0" fillId="0" borderId="8" xfId="0" applyBorder="1"/>
    <xf numFmtId="0" fontId="18" fillId="0" borderId="10" xfId="0" applyFont="1" applyBorder="1"/>
    <xf numFmtId="0" fontId="14" fillId="0" borderId="0" xfId="0" applyFont="1" applyAlignment="1">
      <alignment horizontal="center"/>
    </xf>
    <xf numFmtId="0" fontId="8" fillId="0" borderId="7" xfId="0" applyFont="1" applyBorder="1"/>
    <xf numFmtId="0" fontId="8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7" xfId="0" applyFont="1" applyFill="1" applyBorder="1"/>
    <xf numFmtId="0" fontId="0" fillId="0" borderId="0" xfId="0" applyBorder="1"/>
    <xf numFmtId="0" fontId="6" fillId="0" borderId="0" xfId="0" applyFont="1" applyBorder="1" applyAlignment="1">
      <alignment horizontal="center"/>
    </xf>
    <xf numFmtId="168" fontId="0" fillId="0" borderId="7" xfId="0" applyNumberFormat="1" applyBorder="1"/>
    <xf numFmtId="170" fontId="8" fillId="0" borderId="0" xfId="0" applyNumberFormat="1" applyFont="1" applyBorder="1"/>
    <xf numFmtId="44" fontId="14" fillId="0" borderId="0" xfId="2" applyFont="1" applyBorder="1" applyProtection="1"/>
    <xf numFmtId="5" fontId="18" fillId="0" borderId="0" xfId="0" applyNumberFormat="1" applyFont="1" applyBorder="1"/>
    <xf numFmtId="0" fontId="0" fillId="0" borderId="7" xfId="0" applyBorder="1"/>
    <xf numFmtId="44" fontId="14" fillId="0" borderId="0" xfId="0" applyNumberFormat="1" applyFont="1" applyBorder="1"/>
    <xf numFmtId="0" fontId="18" fillId="0" borderId="0" xfId="0" applyFont="1" applyBorder="1"/>
    <xf numFmtId="174" fontId="22" fillId="0" borderId="0" xfId="0" applyNumberFormat="1" applyFont="1" applyBorder="1"/>
    <xf numFmtId="7" fontId="6" fillId="0" borderId="7" xfId="0" applyNumberFormat="1" applyFont="1" applyBorder="1" applyProtection="1"/>
    <xf numFmtId="172" fontId="18" fillId="0" borderId="0" xfId="2" applyNumberFormat="1" applyFont="1" applyBorder="1" applyProtection="1"/>
    <xf numFmtId="172" fontId="14" fillId="0" borderId="0" xfId="2" applyNumberFormat="1" applyFont="1" applyBorder="1" applyProtection="1"/>
    <xf numFmtId="172" fontId="14" fillId="0" borderId="0" xfId="0" applyNumberFormat="1" applyFont="1" applyBorder="1"/>
    <xf numFmtId="171" fontId="18" fillId="0" borderId="0" xfId="0" applyNumberFormat="1" applyFont="1" applyBorder="1"/>
    <xf numFmtId="172" fontId="21" fillId="0" borderId="0" xfId="2" applyNumberFormat="1" applyFont="1" applyBorder="1" applyProtection="1"/>
    <xf numFmtId="172" fontId="18" fillId="0" borderId="0" xfId="2" applyNumberFormat="1" applyFont="1" applyBorder="1"/>
    <xf numFmtId="44" fontId="18" fillId="0" borderId="0" xfId="2" applyFont="1" applyBorder="1"/>
    <xf numFmtId="172" fontId="14" fillId="0" borderId="0" xfId="2" applyNumberFormat="1" applyFont="1" applyBorder="1"/>
    <xf numFmtId="170" fontId="0" fillId="0" borderId="0" xfId="0" applyNumberFormat="1" applyBorder="1"/>
    <xf numFmtId="0" fontId="12" fillId="0" borderId="0" xfId="0" applyFont="1" applyBorder="1"/>
    <xf numFmtId="168" fontId="0" fillId="0" borderId="9" xfId="0" applyNumberFormat="1" applyBorder="1"/>
    <xf numFmtId="6" fontId="12" fillId="0" borderId="10" xfId="0" applyNumberFormat="1" applyFont="1" applyBorder="1"/>
    <xf numFmtId="172" fontId="18" fillId="0" borderId="10" xfId="0" applyNumberFormat="1" applyFont="1" applyBorder="1"/>
    <xf numFmtId="44" fontId="21" fillId="0" borderId="0" xfId="2" applyFont="1" applyBorder="1" applyProtection="1"/>
    <xf numFmtId="7" fontId="21" fillId="0" borderId="0" xfId="2" applyNumberFormat="1" applyFont="1" applyBorder="1" applyProtection="1"/>
    <xf numFmtId="8" fontId="0" fillId="0" borderId="0" xfId="0" applyNumberFormat="1"/>
    <xf numFmtId="6" fontId="5" fillId="0" borderId="0" xfId="0" applyNumberFormat="1" applyFont="1"/>
    <xf numFmtId="7" fontId="2" fillId="0" borderId="0" xfId="0" applyNumberFormat="1" applyFont="1" applyAlignment="1" applyProtection="1">
      <alignment horizontal="center"/>
      <protection locked="0"/>
    </xf>
    <xf numFmtId="182" fontId="2" fillId="3" borderId="0" xfId="4" applyNumberFormat="1" applyFont="1" applyFill="1" applyProtection="1"/>
    <xf numFmtId="182" fontId="2" fillId="0" borderId="0" xfId="4" applyNumberFormat="1" applyFont="1" applyProtection="1"/>
    <xf numFmtId="0" fontId="5" fillId="0" borderId="0" xfId="0" applyFont="1" applyAlignment="1" applyProtection="1">
      <alignment horizontal="center"/>
      <protection locked="0"/>
    </xf>
    <xf numFmtId="7" fontId="18" fillId="0" borderId="0" xfId="0" applyNumberFormat="1" applyFont="1" applyBorder="1"/>
    <xf numFmtId="168" fontId="18" fillId="0" borderId="0" xfId="0" applyNumberFormat="1" applyFont="1" applyBorder="1"/>
    <xf numFmtId="0" fontId="2" fillId="4" borderId="0" xfId="0" applyFont="1" applyFill="1"/>
    <xf numFmtId="0" fontId="5" fillId="4" borderId="0" xfId="0" applyFont="1" applyFill="1"/>
    <xf numFmtId="179" fontId="5" fillId="2" borderId="1" xfId="0" applyNumberFormat="1" applyFont="1" applyFill="1" applyBorder="1" applyProtection="1"/>
    <xf numFmtId="0" fontId="18" fillId="0" borderId="7" xfId="0" applyFont="1" applyBorder="1"/>
    <xf numFmtId="2" fontId="14" fillId="0" borderId="0" xfId="0" applyNumberFormat="1" applyFont="1" applyBorder="1"/>
    <xf numFmtId="8" fontId="2" fillId="4" borderId="0" xfId="4" applyNumberFormat="1" applyFont="1" applyFill="1"/>
    <xf numFmtId="0" fontId="6" fillId="4" borderId="0" xfId="0" applyFont="1" applyFill="1"/>
    <xf numFmtId="0" fontId="5" fillId="0" borderId="0" xfId="0" applyFont="1" applyAlignment="1" applyProtection="1">
      <alignment horizontal="center" vertical="center"/>
    </xf>
    <xf numFmtId="178" fontId="5" fillId="0" borderId="0" xfId="0" applyNumberFormat="1" applyFont="1" applyProtection="1"/>
    <xf numFmtId="168" fontId="2" fillId="3" borderId="0" xfId="0" applyNumberFormat="1" applyFont="1" applyFill="1" applyProtection="1"/>
    <xf numFmtId="43" fontId="0" fillId="0" borderId="0" xfId="0" applyNumberFormat="1" applyFill="1"/>
    <xf numFmtId="43" fontId="14" fillId="0" borderId="0" xfId="1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7" fontId="2" fillId="0" borderId="0" xfId="0" applyNumberFormat="1" applyFont="1" applyFill="1" applyProtection="1"/>
    <xf numFmtId="8" fontId="2" fillId="3" borderId="0" xfId="0" applyNumberFormat="1" applyFont="1" applyFill="1"/>
    <xf numFmtId="173" fontId="2" fillId="3" borderId="0" xfId="0" applyNumberFormat="1" applyFont="1" applyFill="1" applyProtection="1"/>
    <xf numFmtId="0" fontId="5" fillId="0" borderId="0" xfId="0" applyFont="1" applyFill="1"/>
    <xf numFmtId="0" fontId="0" fillId="0" borderId="0" xfId="0" applyFill="1" applyBorder="1"/>
    <xf numFmtId="7" fontId="2" fillId="3" borderId="0" xfId="0" quotePrefix="1" applyNumberFormat="1" applyFont="1" applyFill="1" applyAlignment="1">
      <alignment horizontal="center"/>
    </xf>
    <xf numFmtId="168" fontId="2" fillId="3" borderId="0" xfId="0" applyNumberFormat="1" applyFont="1" applyFill="1"/>
    <xf numFmtId="0" fontId="2" fillId="0" borderId="0" xfId="0" applyFont="1" applyFill="1" applyAlignment="1">
      <alignment horizontal="fill"/>
    </xf>
    <xf numFmtId="7" fontId="2" fillId="0" borderId="0" xfId="0" applyNumberFormat="1" applyFont="1" applyFill="1" applyAlignment="1" applyProtection="1">
      <alignment horizontal="right"/>
    </xf>
    <xf numFmtId="164" fontId="17" fillId="0" borderId="0" xfId="0" applyNumberFormat="1" applyFont="1" applyFill="1" applyProtection="1"/>
    <xf numFmtId="178" fontId="4" fillId="0" borderId="0" xfId="0" applyNumberFormat="1" applyFont="1" applyFill="1" applyBorder="1" applyProtection="1">
      <protection locked="0"/>
    </xf>
    <xf numFmtId="7" fontId="2" fillId="0" borderId="0" xfId="0" applyNumberFormat="1" applyFont="1" applyFill="1"/>
    <xf numFmtId="166" fontId="2" fillId="0" borderId="0" xfId="0" applyNumberFormat="1" applyFont="1" applyFill="1" applyProtection="1"/>
    <xf numFmtId="0" fontId="13" fillId="0" borderId="0" xfId="0" applyFont="1" applyFill="1" applyAlignment="1">
      <alignment horizontal="left"/>
    </xf>
    <xf numFmtId="5" fontId="0" fillId="0" borderId="0" xfId="0" applyNumberFormat="1" applyFill="1" applyProtection="1"/>
    <xf numFmtId="179" fontId="4" fillId="0" borderId="1" xfId="0" applyNumberFormat="1" applyFont="1" applyFill="1" applyBorder="1" applyProtection="1">
      <protection locked="0"/>
    </xf>
    <xf numFmtId="179" fontId="4" fillId="0" borderId="0" xfId="0" applyNumberFormat="1" applyFont="1" applyFill="1" applyBorder="1" applyProtection="1">
      <protection locked="0"/>
    </xf>
    <xf numFmtId="178" fontId="2" fillId="3" borderId="0" xfId="0" applyNumberFormat="1" applyFont="1" applyFill="1" applyBorder="1" applyProtection="1"/>
    <xf numFmtId="2" fontId="18" fillId="0" borderId="7" xfId="0" applyNumberFormat="1" applyFont="1" applyBorder="1"/>
    <xf numFmtId="181" fontId="7" fillId="0" borderId="12" xfId="0" applyNumberFormat="1" applyFont="1" applyFill="1" applyBorder="1" applyAlignment="1" applyProtection="1">
      <alignment horizontal="left"/>
      <protection locked="0"/>
    </xf>
    <xf numFmtId="167" fontId="5" fillId="0" borderId="0" xfId="0" applyNumberFormat="1" applyFont="1"/>
    <xf numFmtId="43" fontId="5" fillId="0" borderId="0" xfId="0" applyNumberFormat="1" applyFont="1"/>
    <xf numFmtId="165" fontId="2" fillId="0" borderId="0" xfId="0" applyNumberFormat="1" applyFont="1" applyFill="1" applyBorder="1" applyProtection="1"/>
    <xf numFmtId="1" fontId="5" fillId="0" borderId="0" xfId="0" applyNumberFormat="1" applyFont="1" applyFill="1" applyBorder="1"/>
    <xf numFmtId="5" fontId="5" fillId="0" borderId="0" xfId="0" applyNumberFormat="1" applyFont="1" applyProtection="1"/>
    <xf numFmtId="0" fontId="14" fillId="0" borderId="0" xfId="0" applyFont="1" applyFill="1" applyBorder="1"/>
    <xf numFmtId="5" fontId="5" fillId="0" borderId="0" xfId="0" applyNumberFormat="1" applyFont="1" applyFill="1" applyProtection="1"/>
    <xf numFmtId="175" fontId="0" fillId="0" borderId="0" xfId="0" applyNumberFormat="1"/>
    <xf numFmtId="175" fontId="5" fillId="0" borderId="0" xfId="1" applyNumberFormat="1" applyFont="1"/>
    <xf numFmtId="166" fontId="2" fillId="0" borderId="0" xfId="0" applyNumberFormat="1" applyFont="1" applyFill="1" applyBorder="1" applyProtection="1"/>
    <xf numFmtId="5" fontId="8" fillId="0" borderId="0" xfId="0" applyNumberFormat="1" applyFont="1" applyProtection="1"/>
    <xf numFmtId="0" fontId="5" fillId="0" borderId="0" xfId="0" applyFont="1" applyProtection="1"/>
    <xf numFmtId="0" fontId="5" fillId="0" borderId="0" xfId="0" applyFont="1" applyFill="1" applyBorder="1" applyProtection="1">
      <protection locked="0"/>
    </xf>
    <xf numFmtId="7" fontId="2" fillId="0" borderId="0" xfId="0" applyNumberFormat="1" applyFont="1" applyBorder="1" applyProtection="1"/>
    <xf numFmtId="166" fontId="25" fillId="3" borderId="0" xfId="0" applyNumberFormat="1" applyFont="1" applyFill="1"/>
    <xf numFmtId="0" fontId="5" fillId="0" borderId="0" xfId="0" applyFont="1" applyProtection="1">
      <protection locked="0"/>
    </xf>
    <xf numFmtId="182" fontId="14" fillId="0" borderId="0" xfId="0" applyNumberFormat="1" applyFont="1"/>
    <xf numFmtId="0" fontId="2" fillId="0" borderId="0" xfId="0" applyFont="1" applyFill="1" applyProtection="1"/>
    <xf numFmtId="0" fontId="4" fillId="0" borderId="0" xfId="0" applyFont="1" applyFill="1" applyAlignment="1" applyProtection="1">
      <alignment horizontal="center" vertical="center"/>
      <protection locked="0"/>
    </xf>
    <xf numFmtId="166" fontId="25" fillId="0" borderId="0" xfId="0" applyNumberFormat="1" applyFont="1" applyFill="1"/>
    <xf numFmtId="182" fontId="14" fillId="0" borderId="0" xfId="0" applyNumberFormat="1" applyFont="1" applyFill="1"/>
    <xf numFmtId="8" fontId="4" fillId="0" borderId="1" xfId="0" applyNumberFormat="1" applyFont="1" applyBorder="1" applyProtection="1">
      <protection locked="0"/>
    </xf>
    <xf numFmtId="1" fontId="6" fillId="0" borderId="0" xfId="0" applyNumberFormat="1" applyFont="1" applyBorder="1" applyProtection="1"/>
    <xf numFmtId="168" fontId="5" fillId="0" borderId="7" xfId="0" applyNumberFormat="1" applyFont="1" applyBorder="1"/>
    <xf numFmtId="182" fontId="6" fillId="0" borderId="0" xfId="0" applyNumberFormat="1" applyFont="1" applyBorder="1" applyProtection="1"/>
    <xf numFmtId="0" fontId="18" fillId="0" borderId="5" xfId="0" applyFont="1" applyBorder="1"/>
    <xf numFmtId="166" fontId="14" fillId="0" borderId="0" xfId="0" applyNumberFormat="1" applyFont="1" applyBorder="1"/>
    <xf numFmtId="2" fontId="18" fillId="0" borderId="0" xfId="0" applyNumberFormat="1" applyFont="1" applyBorder="1"/>
    <xf numFmtId="176" fontId="14" fillId="0" borderId="0" xfId="0" applyNumberFormat="1" applyFont="1" applyBorder="1"/>
    <xf numFmtId="176" fontId="14" fillId="0" borderId="0" xfId="1" applyNumberFormat="1" applyFont="1" applyBorder="1" applyProtection="1"/>
    <xf numFmtId="0" fontId="18" fillId="0" borderId="0" xfId="0" applyFont="1" applyBorder="1" applyAlignment="1">
      <alignment horizontal="center"/>
    </xf>
    <xf numFmtId="176" fontId="14" fillId="0" borderId="10" xfId="0" applyNumberFormat="1" applyFont="1" applyBorder="1" applyProtection="1"/>
    <xf numFmtId="7" fontId="5" fillId="0" borderId="0" xfId="0" applyNumberFormat="1" applyFont="1" applyProtection="1"/>
    <xf numFmtId="172" fontId="2" fillId="3" borderId="0" xfId="0" applyNumberFormat="1" applyFont="1" applyFill="1" applyProtection="1"/>
    <xf numFmtId="182" fontId="20" fillId="0" borderId="0" xfId="4" applyNumberFormat="1" applyFont="1"/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Fill="1"/>
    <xf numFmtId="167" fontId="5" fillId="0" borderId="0" xfId="0" applyNumberFormat="1" applyFont="1" applyAlignment="1">
      <alignment horizontal="left"/>
    </xf>
    <xf numFmtId="7" fontId="5" fillId="0" borderId="1" xfId="0" applyNumberFormat="1" applyFont="1" applyBorder="1" applyProtection="1"/>
    <xf numFmtId="177" fontId="4" fillId="3" borderId="1" xfId="0" applyNumberFormat="1" applyFont="1" applyFill="1" applyBorder="1" applyProtection="1">
      <protection locked="0"/>
    </xf>
    <xf numFmtId="7" fontId="5" fillId="0" borderId="10" xfId="0" applyNumberFormat="1" applyFont="1" applyBorder="1" applyProtection="1"/>
    <xf numFmtId="172" fontId="2" fillId="3" borderId="0" xfId="0" applyNumberFormat="1" applyFont="1" applyFill="1"/>
    <xf numFmtId="7" fontId="2" fillId="3" borderId="0" xfId="0" applyNumberFormat="1" applyFont="1" applyFill="1" applyBorder="1" applyProtection="1"/>
    <xf numFmtId="175" fontId="5" fillId="0" borderId="1" xfId="1" applyNumberFormat="1" applyFont="1" applyBorder="1" applyProtection="1"/>
    <xf numFmtId="7" fontId="2" fillId="0" borderId="0" xfId="4" applyNumberFormat="1" applyFont="1" applyBorder="1" applyProtection="1"/>
    <xf numFmtId="183" fontId="6" fillId="0" borderId="0" xfId="0" applyNumberFormat="1" applyFont="1"/>
    <xf numFmtId="9" fontId="5" fillId="0" borderId="0" xfId="4" applyFont="1" applyBorder="1" applyProtection="1"/>
    <xf numFmtId="181" fontId="6" fillId="0" borderId="0" xfId="0" applyNumberFormat="1" applyFont="1" applyBorder="1" applyAlignment="1" applyProtection="1">
      <alignment horizontal="left"/>
    </xf>
    <xf numFmtId="175" fontId="5" fillId="0" borderId="0" xfId="1" applyNumberFormat="1" applyFont="1" applyFill="1" applyProtection="1"/>
    <xf numFmtId="166" fontId="5" fillId="0" borderId="0" xfId="0" applyNumberFormat="1" applyFont="1" applyFill="1" applyProtection="1"/>
    <xf numFmtId="175" fontId="2" fillId="0" borderId="0" xfId="0" applyNumberFormat="1" applyFont="1"/>
    <xf numFmtId="1" fontId="13" fillId="0" borderId="0" xfId="0" applyNumberFormat="1" applyFont="1" applyFill="1" applyAlignment="1" applyProtection="1">
      <alignment horizontal="right"/>
    </xf>
    <xf numFmtId="5" fontId="13" fillId="0" borderId="0" xfId="0" applyNumberFormat="1" applyFont="1" applyFill="1" applyAlignment="1" applyProtection="1">
      <alignment horizontal="right"/>
    </xf>
    <xf numFmtId="5" fontId="0" fillId="0" borderId="0" xfId="0" applyNumberFormat="1" applyFill="1"/>
    <xf numFmtId="172" fontId="5" fillId="0" borderId="13" xfId="0" applyNumberFormat="1" applyFont="1" applyBorder="1" applyProtection="1"/>
    <xf numFmtId="165" fontId="4" fillId="2" borderId="12" xfId="0" applyNumberFormat="1" applyFont="1" applyFill="1" applyBorder="1" applyProtection="1">
      <protection locked="0"/>
    </xf>
    <xf numFmtId="15" fontId="6" fillId="0" borderId="0" xfId="0" applyNumberFormat="1" applyFont="1" applyBorder="1" applyProtection="1"/>
    <xf numFmtId="8" fontId="2" fillId="0" borderId="0" xfId="4" applyNumberFormat="1" applyFont="1" applyBorder="1" applyProtection="1"/>
    <xf numFmtId="0" fontId="2" fillId="3" borderId="0" xfId="0" applyFont="1" applyFill="1" applyAlignment="1">
      <alignment horizontal="left"/>
    </xf>
    <xf numFmtId="8" fontId="2" fillId="3" borderId="0" xfId="0" applyNumberFormat="1" applyFont="1" applyFill="1" applyBorder="1" applyProtection="1"/>
    <xf numFmtId="7" fontId="2" fillId="0" borderId="0" xfId="0" applyNumberFormat="1" applyFont="1" applyFill="1" applyBorder="1" applyProtection="1"/>
    <xf numFmtId="0" fontId="26" fillId="0" borderId="0" xfId="0" applyFont="1" applyProtection="1">
      <protection locked="0"/>
    </xf>
    <xf numFmtId="14" fontId="0" fillId="0" borderId="0" xfId="0" applyNumberFormat="1" applyAlignment="1">
      <alignment horizontal="left"/>
    </xf>
    <xf numFmtId="168" fontId="2" fillId="3" borderId="0" xfId="4" applyNumberFormat="1" applyFont="1" applyFill="1" applyBorder="1" applyProtection="1"/>
    <xf numFmtId="14" fontId="26" fillId="0" borderId="0" xfId="0" applyNumberFormat="1" applyFont="1" applyProtection="1">
      <protection locked="0"/>
    </xf>
    <xf numFmtId="0" fontId="27" fillId="0" borderId="3" xfId="0" applyFont="1" applyFill="1" applyBorder="1" applyAlignment="1" applyProtection="1">
      <alignment horizontal="left"/>
      <protection locked="0"/>
    </xf>
    <xf numFmtId="0" fontId="2" fillId="5" borderId="0" xfId="0" applyFont="1" applyFill="1"/>
    <xf numFmtId="0" fontId="13" fillId="5" borderId="0" xfId="0" applyFont="1" applyFill="1"/>
    <xf numFmtId="0" fontId="23" fillId="5" borderId="0" xfId="0" applyFont="1" applyFill="1"/>
    <xf numFmtId="0" fontId="0" fillId="5" borderId="0" xfId="0" applyFill="1"/>
    <xf numFmtId="0" fontId="13" fillId="5" borderId="0" xfId="0" applyFont="1" applyFill="1" applyAlignment="1">
      <alignment horizontal="center"/>
    </xf>
    <xf numFmtId="7" fontId="13" fillId="5" borderId="0" xfId="0" applyNumberFormat="1" applyFont="1" applyFill="1" applyAlignment="1" applyProtection="1">
      <alignment horizontal="right"/>
    </xf>
    <xf numFmtId="15" fontId="27" fillId="0" borderId="3" xfId="0" applyNumberFormat="1" applyFont="1" applyBorder="1" applyAlignment="1" applyProtection="1">
      <protection locked="0"/>
    </xf>
    <xf numFmtId="165" fontId="4" fillId="2" borderId="3" xfId="0" applyNumberFormat="1" applyFont="1" applyFill="1" applyBorder="1" applyProtection="1">
      <protection locked="0"/>
    </xf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/>
    <xf numFmtId="2" fontId="6" fillId="0" borderId="0" xfId="0" applyNumberFormat="1" applyFont="1" applyProtection="1"/>
    <xf numFmtId="0" fontId="5" fillId="0" borderId="0" xfId="0" applyFont="1" applyAlignment="1">
      <alignment horizontal="center"/>
    </xf>
    <xf numFmtId="7" fontId="27" fillId="0" borderId="1" xfId="0" applyNumberFormat="1" applyFont="1" applyBorder="1" applyProtection="1">
      <protection locked="0"/>
    </xf>
    <xf numFmtId="14" fontId="27" fillId="0" borderId="1" xfId="0" applyNumberFormat="1" applyFont="1" applyBorder="1" applyProtection="1">
      <protection locked="0"/>
    </xf>
    <xf numFmtId="0" fontId="28" fillId="0" borderId="0" xfId="0" applyFont="1" applyProtection="1">
      <protection locked="0"/>
    </xf>
    <xf numFmtId="14" fontId="27" fillId="0" borderId="0" xfId="0" applyNumberFormat="1" applyFont="1" applyProtection="1">
      <protection locked="0"/>
    </xf>
    <xf numFmtId="0" fontId="13" fillId="0" borderId="0" xfId="0" applyFont="1" applyAlignment="1">
      <alignment horizontal="center"/>
    </xf>
    <xf numFmtId="5" fontId="5" fillId="0" borderId="0" xfId="0" applyNumberFormat="1" applyFont="1" applyFill="1" applyAlignment="1" applyProtection="1">
      <alignment horizontal="center"/>
    </xf>
    <xf numFmtId="9" fontId="14" fillId="0" borderId="0" xfId="0" applyNumberFormat="1" applyFont="1"/>
    <xf numFmtId="5" fontId="2" fillId="5" borderId="0" xfId="0" applyNumberFormat="1" applyFont="1" applyFill="1"/>
    <xf numFmtId="182" fontId="14" fillId="5" borderId="0" xfId="0" applyNumberFormat="1" applyFont="1" applyFill="1"/>
    <xf numFmtId="182" fontId="18" fillId="5" borderId="0" xfId="0" applyNumberFormat="1" applyFont="1" applyFill="1"/>
    <xf numFmtId="37" fontId="4" fillId="0" borderId="1" xfId="1" applyNumberFormat="1" applyFont="1" applyBorder="1" applyProtection="1">
      <protection locked="0"/>
    </xf>
    <xf numFmtId="0" fontId="6" fillId="0" borderId="0" xfId="0" applyFont="1" applyFill="1" applyAlignment="1">
      <alignment horizontal="left"/>
    </xf>
    <xf numFmtId="0" fontId="28" fillId="0" borderId="3" xfId="0" applyFont="1" applyBorder="1" applyAlignment="1" applyProtection="1">
      <alignment horizontal="left"/>
      <protection locked="0"/>
    </xf>
    <xf numFmtId="0" fontId="27" fillId="0" borderId="0" xfId="0" applyFont="1" applyProtection="1">
      <protection locked="0"/>
    </xf>
    <xf numFmtId="168" fontId="30" fillId="0" borderId="7" xfId="0" applyNumberFormat="1" applyFont="1" applyBorder="1"/>
    <xf numFmtId="0" fontId="29" fillId="0" borderId="0" xfId="0" applyFont="1"/>
    <xf numFmtId="168" fontId="5" fillId="0" borderId="0" xfId="0" applyNumberFormat="1" applyFont="1"/>
    <xf numFmtId="168" fontId="12" fillId="0" borderId="0" xfId="0" applyNumberFormat="1" applyFont="1"/>
    <xf numFmtId="0" fontId="30" fillId="0" borderId="0" xfId="0" applyFont="1"/>
    <xf numFmtId="5" fontId="29" fillId="0" borderId="0" xfId="0" applyNumberFormat="1" applyFont="1"/>
    <xf numFmtId="175" fontId="2" fillId="0" borderId="0" xfId="0" applyNumberFormat="1" applyFont="1" applyFill="1"/>
    <xf numFmtId="182" fontId="5" fillId="0" borderId="0" xfId="4" applyNumberFormat="1" applyFont="1" applyBorder="1" applyProtection="1"/>
    <xf numFmtId="0" fontId="18" fillId="0" borderId="0" xfId="0" applyFont="1" applyFill="1" applyAlignment="1">
      <alignment horizontal="center"/>
    </xf>
    <xf numFmtId="2" fontId="5" fillId="0" borderId="0" xfId="0" applyNumberFormat="1" applyFont="1"/>
    <xf numFmtId="175" fontId="5" fillId="0" borderId="0" xfId="1" applyNumberFormat="1" applyFont="1" applyProtection="1"/>
    <xf numFmtId="175" fontId="31" fillId="2" borderId="1" xfId="1" applyNumberFormat="1" applyFont="1" applyFill="1" applyBorder="1" applyProtection="1">
      <protection locked="0"/>
    </xf>
    <xf numFmtId="37" fontId="5" fillId="0" borderId="13" xfId="0" applyNumberFormat="1" applyFont="1" applyBorder="1" applyProtection="1"/>
    <xf numFmtId="182" fontId="2" fillId="0" borderId="0" xfId="4" applyNumberFormat="1" applyFont="1"/>
    <xf numFmtId="37" fontId="5" fillId="0" borderId="0" xfId="0" applyNumberFormat="1" applyFont="1" applyFill="1" applyProtection="1"/>
    <xf numFmtId="179" fontId="5" fillId="0" borderId="0" xfId="0" applyNumberFormat="1" applyFont="1" applyFill="1"/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Protection="1"/>
    <xf numFmtId="171" fontId="5" fillId="0" borderId="0" xfId="0" applyNumberFormat="1" applyFont="1"/>
    <xf numFmtId="182" fontId="2" fillId="3" borderId="0" xfId="4" applyNumberFormat="1" applyFont="1" applyFill="1" applyBorder="1" applyProtection="1"/>
    <xf numFmtId="168" fontId="27" fillId="0" borderId="17" xfId="0" applyNumberFormat="1" applyFont="1" applyBorder="1" applyProtection="1">
      <protection locked="0"/>
    </xf>
    <xf numFmtId="10" fontId="2" fillId="0" borderId="0" xfId="0" applyNumberFormat="1" applyFont="1"/>
    <xf numFmtId="182" fontId="6" fillId="0" borderId="0" xfId="4" applyNumberFormat="1" applyFont="1"/>
    <xf numFmtId="0" fontId="7" fillId="0" borderId="12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protection locked="0"/>
    </xf>
    <xf numFmtId="0" fontId="1" fillId="0" borderId="0" xfId="0" applyFont="1"/>
    <xf numFmtId="172" fontId="4" fillId="0" borderId="1" xfId="0" applyNumberFormat="1" applyFont="1" applyBorder="1" applyProtection="1">
      <protection locked="0"/>
    </xf>
    <xf numFmtId="165" fontId="4" fillId="2" borderId="0" xfId="0" applyNumberFormat="1" applyFont="1" applyFill="1" applyBorder="1" applyProtection="1">
      <protection locked="0"/>
    </xf>
    <xf numFmtId="166" fontId="4" fillId="0" borderId="0" xfId="0" applyNumberFormat="1" applyFont="1" applyBorder="1" applyProtection="1">
      <protection locked="0"/>
    </xf>
    <xf numFmtId="0" fontId="32" fillId="0" borderId="18" xfId="0" applyFont="1" applyBorder="1" applyAlignment="1" applyProtection="1">
      <alignment horizontal="center"/>
      <protection locked="0"/>
    </xf>
    <xf numFmtId="172" fontId="5" fillId="0" borderId="0" xfId="0" applyNumberFormat="1" applyFont="1"/>
    <xf numFmtId="2" fontId="2" fillId="0" borderId="0" xfId="0" applyNumberFormat="1" applyFont="1" applyFill="1" applyProtection="1"/>
    <xf numFmtId="2" fontId="6" fillId="0" borderId="0" xfId="0" applyNumberFormat="1" applyFont="1"/>
    <xf numFmtId="175" fontId="2" fillId="0" borderId="0" xfId="1" applyNumberFormat="1" applyFont="1" applyFill="1"/>
    <xf numFmtId="8" fontId="12" fillId="0" borderId="0" xfId="0" applyNumberFormat="1" applyFont="1"/>
    <xf numFmtId="168" fontId="14" fillId="0" borderId="0" xfId="0" applyNumberFormat="1" applyFont="1" applyBorder="1"/>
    <xf numFmtId="0" fontId="5" fillId="0" borderId="0" xfId="0" applyNumberFormat="1" applyFont="1" applyAlignment="1">
      <alignment vertical="center"/>
    </xf>
    <xf numFmtId="0" fontId="33" fillId="0" borderId="19" xfId="0" applyFont="1" applyBorder="1" applyAlignment="1" applyProtection="1">
      <protection locked="0"/>
    </xf>
    <xf numFmtId="180" fontId="2" fillId="3" borderId="0" xfId="0" applyNumberFormat="1" applyFont="1" applyFill="1" applyProtection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4" xfId="0" applyFont="1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2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Sheet1" xfId="3" xr:uid="{00000000-0005-0000-0000-000003000000}"/>
    <cellStyle name="Percent" xfId="4" builtinId="5"/>
  </cellStyles>
  <dxfs count="0"/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attachedToolbars" Target="attachedToolbars.bin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Projected Finishing Costs</a:t>
            </a:r>
          </a:p>
        </c:rich>
      </c:tx>
      <c:layout>
        <c:manualLayout>
          <c:xMode val="edge"/>
          <c:yMode val="edge"/>
          <c:x val="0.36004535897101259"/>
          <c:y val="2.98804780876494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1671983938514"/>
          <c:y val="0.32470151104713085"/>
          <c:w val="0.2663658352837957"/>
          <c:h val="0.47011997918480297"/>
        </c:manualLayout>
      </c:layout>
      <c:pieChart>
        <c:varyColors val="1"/>
        <c:ser>
          <c:idx val="0"/>
          <c:order val="0"/>
          <c:tx>
            <c:strRef>
              <c:f>'3. Graphs'!$J$34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3C-4D5E-A130-C804533779F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23C-4D5E-A130-C804533779F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23C-4D5E-A130-C804533779F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23C-4D5E-A130-C804533779F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23C-4D5E-A130-C804533779F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E23C-4D5E-A130-C804533779F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 Graphs'!$I$35:$I$40</c:f>
              <c:strCache>
                <c:ptCount val="6"/>
                <c:pt idx="0">
                  <c:v>Feeder Cattle In</c:v>
                </c:pt>
                <c:pt idx="1">
                  <c:v>Cost of Gain</c:v>
                </c:pt>
                <c:pt idx="2">
                  <c:v>Process, Vet Med.</c:v>
                </c:pt>
                <c:pt idx="3">
                  <c:v>Other</c:v>
                </c:pt>
                <c:pt idx="4">
                  <c:v>Indirect-Mgmt. &amp; G&amp;A</c:v>
                </c:pt>
                <c:pt idx="5">
                  <c:v>Interest</c:v>
                </c:pt>
              </c:strCache>
            </c:strRef>
          </c:cat>
          <c:val>
            <c:numRef>
              <c:f>'3. Graphs'!$J$35:$J$40</c:f>
              <c:numCache>
                <c:formatCode>"$"#,##0_);\("$"#,##0\)</c:formatCode>
                <c:ptCount val="6"/>
                <c:pt idx="0">
                  <c:v>69326.1224489796</c:v>
                </c:pt>
                <c:pt idx="1">
                  <c:v>92256</c:v>
                </c:pt>
                <c:pt idx="2">
                  <c:v>0</c:v>
                </c:pt>
                <c:pt idx="3">
                  <c:v>0</c:v>
                </c:pt>
                <c:pt idx="4">
                  <c:v>2000</c:v>
                </c:pt>
                <c:pt idx="5">
                  <c:v>5106.7836857429247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3C-4D5E-A130-C80453377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4972375690608"/>
          <c:y val="0.39840637450199201"/>
          <c:w val="0.27845303867403315"/>
          <c:h val="0.326693227091633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 Black" panose="020B0A04020102020204" pitchFamily="34" charset="0"/>
              </a:rPr>
              <a:t>Finishing Margins $/Head</a:t>
            </a:r>
          </a:p>
        </c:rich>
      </c:tx>
      <c:layout>
        <c:manualLayout>
          <c:xMode val="edge"/>
          <c:yMode val="edge"/>
          <c:x val="0.35340929992204811"/>
          <c:y val="3.2911392405063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42918297559147"/>
          <c:y val="0.24459300103639486"/>
          <c:w val="0.8704550284396243"/>
          <c:h val="0.63037974683544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Graphs'!$F$33</c:f>
              <c:strCache>
                <c:ptCount val="1"/>
                <c:pt idx="0">
                  <c:v>$/Head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Graphs'!$B$34:$E$36</c:f>
              <c:strCache>
                <c:ptCount val="3"/>
                <c:pt idx="0">
                  <c:v>Marketing Margin</c:v>
                </c:pt>
                <c:pt idx="1">
                  <c:v>Feeding Margin</c:v>
                </c:pt>
                <c:pt idx="2">
                  <c:v>Net Margin</c:v>
                </c:pt>
              </c:strCache>
            </c:strRef>
          </c:cat>
          <c:val>
            <c:numRef>
              <c:f>'3. Graphs'!$F$34:$F$36</c:f>
              <c:numCache>
                <c:formatCode>"$"#,##0.00_);[Red]\("$"#,##0.00\)</c:formatCode>
                <c:ptCount val="3"/>
                <c:pt idx="0">
                  <c:v>-228.04379694586169</c:v>
                </c:pt>
                <c:pt idx="1">
                  <c:v>190.34721677974713</c:v>
                </c:pt>
                <c:pt idx="2">
                  <c:v>-37.696580166114664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0-4CE7-A12B-906AFF26F5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7495328"/>
        <c:axId val="207496504"/>
      </c:barChart>
      <c:catAx>
        <c:axId val="2074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96504"/>
        <c:crosses val="autoZero"/>
        <c:auto val="1"/>
        <c:lblAlgn val="ctr"/>
        <c:lblOffset val="100"/>
        <c:tickMarkSkip val="1"/>
        <c:noMultiLvlLbl val="0"/>
      </c:catAx>
      <c:valAx>
        <c:axId val="20749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95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157844</xdr:colOff>
      <xdr:row>0</xdr:row>
      <xdr:rowOff>168729</xdr:rowOff>
    </xdr:from>
    <xdr:to>
      <xdr:col>8</xdr:col>
      <xdr:colOff>1812472</xdr:colOff>
      <xdr:row>2</xdr:row>
      <xdr:rowOff>103415</xdr:rowOff>
    </xdr:to>
    <xdr:pic>
      <xdr:nvPicPr>
        <xdr:cNvPr id="3" name="Picture 2" descr="TAMAgEX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4715" y="168729"/>
          <a:ext cx="1654628" cy="348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83004</xdr:colOff>
      <xdr:row>1</xdr:row>
      <xdr:rowOff>38100</xdr:rowOff>
    </xdr:from>
    <xdr:to>
      <xdr:col>11</xdr:col>
      <xdr:colOff>787854</xdr:colOff>
      <xdr:row>30</xdr:row>
      <xdr:rowOff>123825</xdr:rowOff>
    </xdr:to>
    <xdr:graphicFrame macro="">
      <xdr:nvGraphicFramePr>
        <xdr:cNvPr id="1156170" name="Chart 4">
          <a:extLst>
            <a:ext uri="{FF2B5EF4-FFF2-40B4-BE49-F238E27FC236}">
              <a16:creationId xmlns:a16="http://schemas.microsoft.com/office/drawing/2014/main" id="{00000000-0008-0000-0300-00004AA4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46</xdr:row>
      <xdr:rowOff>81642</xdr:rowOff>
    </xdr:from>
    <xdr:to>
      <xdr:col>11</xdr:col>
      <xdr:colOff>733425</xdr:colOff>
      <xdr:row>69</xdr:row>
      <xdr:rowOff>119742</xdr:rowOff>
    </xdr:to>
    <xdr:graphicFrame macro="">
      <xdr:nvGraphicFramePr>
        <xdr:cNvPr id="1156171" name="Chart 5">
          <a:extLst>
            <a:ext uri="{FF2B5EF4-FFF2-40B4-BE49-F238E27FC236}">
              <a16:creationId xmlns:a16="http://schemas.microsoft.com/office/drawing/2014/main" id="{00000000-0008-0000-0300-00004BA4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Z132"/>
  <sheetViews>
    <sheetView tabSelected="1" topLeftCell="A37" zoomScaleNormal="100" zoomScaleSheetLayoutView="100" workbookViewId="0">
      <selection activeCell="B63" sqref="B63"/>
    </sheetView>
  </sheetViews>
  <sheetFormatPr defaultRowHeight="12.45" x14ac:dyDescent="0.3"/>
  <cols>
    <col min="1" max="1" width="4.84375" customWidth="1"/>
    <col min="2" max="2" width="57.15234375" customWidth="1"/>
    <col min="3" max="3" width="12.69140625" customWidth="1"/>
    <col min="4" max="4" width="15" customWidth="1"/>
    <col min="5" max="5" width="15.4609375" customWidth="1"/>
    <col min="6" max="6" width="16.61328125" customWidth="1"/>
    <col min="7" max="7" width="8.4609375" customWidth="1"/>
    <col min="8" max="8" width="16" customWidth="1"/>
    <col min="9" max="9" width="25.69140625" customWidth="1"/>
    <col min="10" max="11" width="15.4609375" customWidth="1"/>
    <col min="12" max="12" width="14.53515625" customWidth="1"/>
    <col min="13" max="13" width="18.53515625" customWidth="1"/>
    <col min="14" max="14" width="16.23046875" customWidth="1"/>
    <col min="15" max="15" width="15.15234375" customWidth="1"/>
    <col min="16" max="16" width="12.84375" customWidth="1"/>
    <col min="17" max="17" width="13.23046875" customWidth="1"/>
    <col min="19" max="19" width="12.69140625" bestFit="1" customWidth="1"/>
    <col min="21" max="21" width="14.69140625" customWidth="1"/>
  </cols>
  <sheetData>
    <row r="1" spans="2:15" ht="17.600000000000001" x14ac:dyDescent="0.4">
      <c r="B1" s="362" t="s">
        <v>222</v>
      </c>
      <c r="C1" s="362"/>
      <c r="D1" s="362"/>
      <c r="E1" s="362"/>
      <c r="F1" s="362"/>
      <c r="G1" s="363"/>
      <c r="H1" s="84"/>
      <c r="I1" s="84"/>
    </row>
    <row r="2" spans="2:15" ht="15" customHeight="1" x14ac:dyDescent="0.4">
      <c r="B2" s="319" t="s">
        <v>73</v>
      </c>
      <c r="C2" s="312"/>
      <c r="D2" s="312"/>
      <c r="E2" s="312"/>
      <c r="F2" s="312"/>
      <c r="G2" s="312"/>
      <c r="I2" s="312"/>
    </row>
    <row r="3" spans="2:15" ht="15" x14ac:dyDescent="0.35">
      <c r="B3" s="367" t="s">
        <v>277</v>
      </c>
      <c r="C3" s="368"/>
      <c r="D3" s="369"/>
      <c r="E3" s="8" t="s">
        <v>0</v>
      </c>
      <c r="J3" s="292"/>
    </row>
    <row r="4" spans="2:15" ht="15" x14ac:dyDescent="0.35">
      <c r="B4" s="346" t="s">
        <v>279</v>
      </c>
      <c r="C4" s="241" t="s">
        <v>176</v>
      </c>
      <c r="D4" s="345">
        <v>21</v>
      </c>
      <c r="E4" s="302">
        <v>44147</v>
      </c>
      <c r="F4" s="71"/>
      <c r="G4" s="71"/>
      <c r="H4" s="71"/>
      <c r="I4" s="347" t="s">
        <v>280</v>
      </c>
    </row>
    <row r="5" spans="2:15" ht="15" x14ac:dyDescent="0.35">
      <c r="B5" s="8" t="s">
        <v>221</v>
      </c>
      <c r="C5" s="295" t="s">
        <v>214</v>
      </c>
      <c r="D5" s="37" t="s">
        <v>62</v>
      </c>
      <c r="E5" s="228" t="s">
        <v>267</v>
      </c>
      <c r="G5" s="264"/>
      <c r="H5" s="111"/>
      <c r="I5" s="212"/>
      <c r="J5" s="70"/>
      <c r="K5" s="70"/>
    </row>
    <row r="6" spans="2:15" ht="15" x14ac:dyDescent="0.35">
      <c r="B6" s="8" t="s">
        <v>220</v>
      </c>
      <c r="C6" s="112" t="s">
        <v>214</v>
      </c>
      <c r="D6" s="37" t="s">
        <v>169</v>
      </c>
      <c r="E6" s="320" t="s">
        <v>271</v>
      </c>
      <c r="G6" s="264"/>
      <c r="H6" s="111"/>
      <c r="I6" s="232"/>
      <c r="J6" s="266"/>
      <c r="K6" s="267"/>
      <c r="L6" s="8"/>
    </row>
    <row r="7" spans="2:15" ht="15.45" x14ac:dyDescent="0.4">
      <c r="B7" s="37" t="s">
        <v>202</v>
      </c>
      <c r="C7" s="364" t="s">
        <v>278</v>
      </c>
      <c r="D7" s="365"/>
      <c r="E7" s="365"/>
      <c r="F7" s="366"/>
      <c r="G7" s="72"/>
      <c r="H7" s="72"/>
      <c r="I7" s="8"/>
      <c r="J7" s="212"/>
      <c r="K7" s="212"/>
      <c r="M7" s="229"/>
    </row>
    <row r="8" spans="2:15" ht="15" x14ac:dyDescent="0.35">
      <c r="B8" s="13" t="s">
        <v>72</v>
      </c>
      <c r="C8" s="8"/>
      <c r="D8" s="8"/>
      <c r="E8" s="13"/>
      <c r="F8" s="285">
        <v>44137</v>
      </c>
      <c r="G8" s="13"/>
      <c r="H8" s="13"/>
      <c r="I8" s="8"/>
    </row>
    <row r="9" spans="2:15" ht="15" x14ac:dyDescent="0.35">
      <c r="B9" s="8" t="s">
        <v>252</v>
      </c>
      <c r="C9" s="10" t="s">
        <v>1</v>
      </c>
      <c r="D9" s="10"/>
      <c r="E9" s="13"/>
      <c r="F9" s="45">
        <v>100</v>
      </c>
      <c r="G9" s="13"/>
      <c r="H9" s="13"/>
      <c r="I9" s="265" t="s">
        <v>216</v>
      </c>
      <c r="J9" s="265" t="s">
        <v>178</v>
      </c>
      <c r="K9" s="304" t="s">
        <v>217</v>
      </c>
      <c r="L9" s="265" t="s">
        <v>215</v>
      </c>
      <c r="M9" s="265" t="s">
        <v>70</v>
      </c>
      <c r="N9" s="265" t="s">
        <v>171</v>
      </c>
    </row>
    <row r="10" spans="2:15" ht="15" x14ac:dyDescent="0.35">
      <c r="B10" s="13" t="s">
        <v>74</v>
      </c>
      <c r="C10" s="10" t="s">
        <v>2</v>
      </c>
      <c r="D10" s="10"/>
      <c r="E10" s="13"/>
      <c r="F10" s="29">
        <v>400</v>
      </c>
      <c r="G10" s="13"/>
      <c r="H10" s="13"/>
      <c r="I10" s="303">
        <v>43891</v>
      </c>
      <c r="J10" s="305">
        <f>F19</f>
        <v>44457.121951219509</v>
      </c>
      <c r="K10" s="48">
        <f>J10-I10</f>
        <v>566.12195121950936</v>
      </c>
      <c r="L10" s="29">
        <v>85</v>
      </c>
      <c r="M10" s="69">
        <f>F25</f>
        <v>1450</v>
      </c>
      <c r="N10" s="230">
        <f>IF(L10=0,0,((M10-L10)/K10))</f>
        <v>2.4111412692258103</v>
      </c>
    </row>
    <row r="11" spans="2:15" ht="15" x14ac:dyDescent="0.35">
      <c r="B11" s="8" t="s">
        <v>268</v>
      </c>
      <c r="C11" s="307" t="s">
        <v>4</v>
      </c>
      <c r="D11" s="307"/>
      <c r="E11" s="13"/>
      <c r="F11" s="31">
        <v>172.55</v>
      </c>
      <c r="G11" s="13"/>
      <c r="H11" s="13"/>
      <c r="I11" s="349"/>
      <c r="J11" s="305"/>
      <c r="K11" s="48"/>
      <c r="L11" s="350"/>
      <c r="M11" s="69"/>
      <c r="N11" s="230"/>
    </row>
    <row r="12" spans="2:15" ht="15.45" x14ac:dyDescent="0.4">
      <c r="B12" s="8" t="s">
        <v>185</v>
      </c>
      <c r="C12" s="10" t="s">
        <v>4</v>
      </c>
      <c r="E12" s="8"/>
      <c r="F12" s="324">
        <f>D125</f>
        <v>170</v>
      </c>
      <c r="H12" s="352">
        <f>D97</f>
        <v>-37.696580166114664</v>
      </c>
      <c r="I12" s="8" t="s">
        <v>273</v>
      </c>
    </row>
    <row r="13" spans="2:15" ht="15.45" x14ac:dyDescent="0.4">
      <c r="B13" s="8" t="s">
        <v>270</v>
      </c>
      <c r="C13" s="351">
        <v>1</v>
      </c>
      <c r="E13" s="8"/>
      <c r="F13" s="284">
        <f>+IF(C13=1,F11,F12)</f>
        <v>172.55</v>
      </c>
      <c r="H13" s="340"/>
      <c r="I13" s="8"/>
    </row>
    <row r="14" spans="2:15" ht="15" x14ac:dyDescent="0.35">
      <c r="B14" s="13" t="s">
        <v>75</v>
      </c>
      <c r="C14" s="63" t="s">
        <v>83</v>
      </c>
      <c r="D14" s="31">
        <v>3.75</v>
      </c>
      <c r="E14" s="318">
        <v>100</v>
      </c>
      <c r="F14" s="268">
        <f>M18</f>
        <v>3.0612244897959182</v>
      </c>
      <c r="H14" s="275">
        <f>F73</f>
        <v>163.50282076013244</v>
      </c>
      <c r="I14" s="8" t="s">
        <v>55</v>
      </c>
    </row>
    <row r="15" spans="2:15" ht="15" x14ac:dyDescent="0.35">
      <c r="B15" s="13" t="s">
        <v>76</v>
      </c>
      <c r="C15" s="10" t="s">
        <v>6</v>
      </c>
      <c r="D15" s="10"/>
      <c r="E15" s="13"/>
      <c r="F15" s="15">
        <f>((F10*F13*0.01)+F14)</f>
        <v>693.26122448979595</v>
      </c>
      <c r="G15" s="16"/>
      <c r="H15" s="16"/>
    </row>
    <row r="16" spans="2:15" ht="15.45" x14ac:dyDescent="0.4">
      <c r="B16" s="13" t="s">
        <v>77</v>
      </c>
      <c r="C16" s="10" t="s">
        <v>4</v>
      </c>
      <c r="D16" s="10"/>
      <c r="E16" s="13"/>
      <c r="F16" s="40">
        <f>(F15/F10)*100</f>
        <v>173.31530612244899</v>
      </c>
      <c r="G16" s="16"/>
      <c r="H16" s="16"/>
      <c r="I16" s="35"/>
      <c r="J16" s="137" t="s">
        <v>84</v>
      </c>
      <c r="K16" s="140"/>
      <c r="L16" s="141"/>
      <c r="M16" s="273">
        <f>E14</f>
        <v>100</v>
      </c>
      <c r="N16" s="140" t="s">
        <v>183</v>
      </c>
      <c r="O16" s="142"/>
    </row>
    <row r="17" spans="2:21" ht="15.45" x14ac:dyDescent="0.4">
      <c r="B17" s="65" t="s">
        <v>100</v>
      </c>
      <c r="C17" s="66" t="s">
        <v>39</v>
      </c>
      <c r="D17" s="66"/>
      <c r="E17" s="73"/>
      <c r="F17" s="74">
        <f>(F15*F9)</f>
        <v>69326.1224489796</v>
      </c>
      <c r="G17" s="344">
        <f>F17/F62</f>
        <v>0.41097025309780982</v>
      </c>
      <c r="H17" s="5"/>
      <c r="I17" s="15"/>
      <c r="J17" s="268">
        <f>D14</f>
        <v>3.75</v>
      </c>
      <c r="K17" s="144" t="s">
        <v>85</v>
      </c>
      <c r="L17" s="145"/>
      <c r="M17" s="146">
        <f>J17*M16</f>
        <v>375</v>
      </c>
      <c r="N17" s="147" t="s">
        <v>87</v>
      </c>
      <c r="O17" s="148"/>
    </row>
    <row r="18" spans="2:21" ht="15.45" x14ac:dyDescent="0.4">
      <c r="B18" s="1"/>
      <c r="C18" s="6"/>
      <c r="D18" s="6"/>
      <c r="E18" s="55"/>
      <c r="F18" s="59"/>
      <c r="G18" s="60"/>
      <c r="H18" s="60"/>
      <c r="I18" s="61"/>
      <c r="J18" s="149">
        <v>49000</v>
      </c>
      <c r="K18" s="144" t="s">
        <v>86</v>
      </c>
      <c r="L18" s="145"/>
      <c r="M18" s="150">
        <f>M17/J19</f>
        <v>3.0612244897959182</v>
      </c>
      <c r="N18" s="147" t="s">
        <v>88</v>
      </c>
      <c r="O18" s="148"/>
    </row>
    <row r="19" spans="2:21" ht="15.45" x14ac:dyDescent="0.4">
      <c r="B19" s="8" t="s">
        <v>78</v>
      </c>
      <c r="D19" s="8"/>
      <c r="E19" s="13"/>
      <c r="F19" s="231">
        <f>F8+F20</f>
        <v>44457.121951219509</v>
      </c>
      <c r="G19" s="70"/>
      <c r="H19" s="70"/>
      <c r="I19" s="55"/>
      <c r="J19" s="151">
        <f>J18/D104</f>
        <v>122.5</v>
      </c>
      <c r="K19" s="152" t="s">
        <v>89</v>
      </c>
      <c r="L19" s="152"/>
      <c r="M19" s="153">
        <f>(M18/D104)*100</f>
        <v>0.76530612244897955</v>
      </c>
      <c r="N19" s="102" t="s">
        <v>4</v>
      </c>
      <c r="O19" s="103"/>
    </row>
    <row r="20" spans="2:21" ht="15.45" x14ac:dyDescent="0.4">
      <c r="B20" s="8" t="s">
        <v>244</v>
      </c>
      <c r="C20" s="110" t="s">
        <v>114</v>
      </c>
      <c r="D20" s="8" t="s">
        <v>248</v>
      </c>
      <c r="E20" s="333">
        <v>1450</v>
      </c>
      <c r="F20" s="221">
        <f>((F25-F10)/F23)</f>
        <v>320.1219512195122</v>
      </c>
      <c r="G20" s="70"/>
      <c r="H20" s="70"/>
      <c r="I20" s="207" t="s">
        <v>152</v>
      </c>
      <c r="J20" s="212"/>
    </row>
    <row r="21" spans="2:21" ht="15.45" x14ac:dyDescent="0.4">
      <c r="B21" s="8" t="s">
        <v>90</v>
      </c>
      <c r="C21" s="10" t="s">
        <v>48</v>
      </c>
      <c r="D21" s="10"/>
      <c r="E21" s="108">
        <v>4</v>
      </c>
      <c r="F21" s="238">
        <f>(1-E21*0.01)*F9</f>
        <v>96</v>
      </c>
      <c r="G21" s="70"/>
      <c r="H21" s="70"/>
      <c r="I21" s="336">
        <f>((F24*F21)-(F9*F10))</f>
        <v>111041.66666666666</v>
      </c>
      <c r="J21" s="337">
        <f>IF(I21&lt;=0,"Undefined",(I21/(F20*F21)))</f>
        <v>3.6132605820105819</v>
      </c>
    </row>
    <row r="22" spans="2:21" ht="15" x14ac:dyDescent="0.35">
      <c r="B22" s="8" t="s">
        <v>79</v>
      </c>
      <c r="C22" s="10" t="s">
        <v>3</v>
      </c>
      <c r="D22" s="10"/>
      <c r="E22" s="13"/>
      <c r="F22" s="9">
        <v>4</v>
      </c>
      <c r="G22" s="70"/>
      <c r="H22" s="70"/>
      <c r="I22" s="338" t="s">
        <v>9</v>
      </c>
      <c r="J22" s="212"/>
    </row>
    <row r="23" spans="2:21" ht="15.45" x14ac:dyDescent="0.4">
      <c r="B23" s="8" t="s">
        <v>276</v>
      </c>
      <c r="C23" s="10" t="s">
        <v>7</v>
      </c>
      <c r="D23" s="10"/>
      <c r="E23" s="354"/>
      <c r="F23" s="30">
        <v>3.28</v>
      </c>
      <c r="G23" s="70"/>
      <c r="H23" s="266" t="s">
        <v>274</v>
      </c>
      <c r="I23" s="339">
        <f>((F25*F21)-(F10*F9))</f>
        <v>99200</v>
      </c>
      <c r="J23" s="353">
        <f>IF(F20&lt;=0,"Undefined",(I23/(F9*F20)))</f>
        <v>3.0988190476190476</v>
      </c>
      <c r="K23" s="55"/>
      <c r="L23" s="70"/>
    </row>
    <row r="24" spans="2:21" ht="15" x14ac:dyDescent="0.35">
      <c r="B24" s="8" t="s">
        <v>245</v>
      </c>
      <c r="C24" s="10" t="s">
        <v>2</v>
      </c>
      <c r="D24" s="10"/>
      <c r="F24" s="49">
        <f>I25</f>
        <v>1573.3506944444443</v>
      </c>
      <c r="G24" s="70"/>
      <c r="H24" s="70"/>
      <c r="K24" s="113"/>
      <c r="L24" s="70"/>
    </row>
    <row r="25" spans="2:21" ht="15.45" x14ac:dyDescent="0.4">
      <c r="B25" s="8" t="s">
        <v>80</v>
      </c>
      <c r="C25" s="10" t="s">
        <v>8</v>
      </c>
      <c r="D25" s="10"/>
      <c r="E25" s="13"/>
      <c r="F25" s="83">
        <f>E20</f>
        <v>1450</v>
      </c>
      <c r="G25" s="70"/>
      <c r="H25" s="70"/>
      <c r="I25" s="237">
        <f>(((E20/(100-E$21)*100)/(100-F$22))*100)</f>
        <v>1573.3506944444443</v>
      </c>
      <c r="J25" s="347" t="s">
        <v>265</v>
      </c>
      <c r="K25" s="55"/>
      <c r="L25" s="115">
        <f>F25*F21</f>
        <v>139200</v>
      </c>
      <c r="M25" s="8" t="s">
        <v>255</v>
      </c>
    </row>
    <row r="26" spans="2:21" ht="15" x14ac:dyDescent="0.35">
      <c r="B26" s="8" t="s">
        <v>181</v>
      </c>
      <c r="C26" s="37" t="s">
        <v>182</v>
      </c>
      <c r="D26" s="307"/>
      <c r="E26" s="331">
        <f>J23</f>
        <v>3.0988190476190476</v>
      </c>
      <c r="F26" s="332">
        <f>(F25-F10)</f>
        <v>1050</v>
      </c>
      <c r="G26" s="70"/>
      <c r="H26" s="266" t="s">
        <v>274</v>
      </c>
      <c r="K26" s="87"/>
      <c r="L26" s="70"/>
    </row>
    <row r="27" spans="2:21" ht="15.45" x14ac:dyDescent="0.4">
      <c r="B27" s="8" t="s">
        <v>186</v>
      </c>
      <c r="C27" s="10" t="s">
        <v>4</v>
      </c>
      <c r="D27" s="10"/>
      <c r="E27" s="13"/>
      <c r="F27" s="270">
        <f>E125</f>
        <v>119</v>
      </c>
      <c r="G27" s="70"/>
      <c r="H27" s="70"/>
      <c r="I27" s="212" t="s">
        <v>96</v>
      </c>
      <c r="J27" s="355">
        <f>(I23/F9)</f>
        <v>992</v>
      </c>
      <c r="K27" s="114"/>
      <c r="L27" s="70"/>
    </row>
    <row r="28" spans="2:21" ht="15.45" x14ac:dyDescent="0.4">
      <c r="B28" s="8" t="s">
        <v>81</v>
      </c>
      <c r="C28" s="10" t="s">
        <v>5</v>
      </c>
      <c r="D28" s="10"/>
      <c r="E28" s="109">
        <v>0</v>
      </c>
      <c r="F28" s="41">
        <f>((F25*F27*0.01)*E28*0.01)</f>
        <v>0</v>
      </c>
      <c r="G28" s="70"/>
      <c r="H28" s="70"/>
      <c r="I28" s="207" t="s">
        <v>153</v>
      </c>
      <c r="J28" s="328">
        <f>(($F$25*$F$21)-($F$9*$F$10))/$F$21</f>
        <v>1033.3333333333333</v>
      </c>
      <c r="K28" s="115"/>
      <c r="L28" s="237">
        <f>J28*F21</f>
        <v>99200</v>
      </c>
      <c r="M28" s="8" t="s">
        <v>283</v>
      </c>
    </row>
    <row r="29" spans="2:21" ht="15" x14ac:dyDescent="0.35">
      <c r="B29" s="8" t="s">
        <v>154</v>
      </c>
      <c r="C29" s="63" t="s">
        <v>83</v>
      </c>
      <c r="D29" s="31">
        <v>3.75</v>
      </c>
      <c r="E29" s="29">
        <v>50</v>
      </c>
      <c r="F29" s="41">
        <f>M32</f>
        <v>6.0204745960884347</v>
      </c>
      <c r="G29" s="70"/>
      <c r="H29" s="70"/>
      <c r="I29" s="70"/>
      <c r="J29" s="70"/>
      <c r="K29" s="70"/>
      <c r="L29" s="70"/>
      <c r="O29" s="64"/>
      <c r="P29" s="64"/>
      <c r="Q29" s="64"/>
      <c r="R29" s="64"/>
      <c r="S29" s="64"/>
      <c r="T29" s="64"/>
    </row>
    <row r="30" spans="2:21" ht="15" x14ac:dyDescent="0.35">
      <c r="B30" s="8" t="s">
        <v>82</v>
      </c>
      <c r="C30" s="10" t="s">
        <v>6</v>
      </c>
      <c r="D30" s="10"/>
      <c r="E30" s="13"/>
      <c r="F30" s="31">
        <v>0</v>
      </c>
      <c r="G30" s="70"/>
      <c r="H30" s="70"/>
      <c r="I30" s="70"/>
      <c r="J30" s="137" t="s">
        <v>84</v>
      </c>
      <c r="K30" s="140"/>
      <c r="L30" s="141"/>
      <c r="M30" s="140"/>
      <c r="N30" s="140"/>
      <c r="O30" s="142"/>
      <c r="T30" s="78"/>
      <c r="U30" s="56"/>
    </row>
    <row r="31" spans="2:21" ht="15.45" x14ac:dyDescent="0.4">
      <c r="B31" s="65" t="s">
        <v>93</v>
      </c>
      <c r="C31" s="66" t="s">
        <v>6</v>
      </c>
      <c r="D31" s="66"/>
      <c r="E31" s="65"/>
      <c r="F31" s="67">
        <f>SUM(F28:F30)</f>
        <v>6.0204745960884347</v>
      </c>
      <c r="G31" s="70"/>
      <c r="H31" s="70"/>
      <c r="I31" s="205"/>
      <c r="J31" s="143">
        <f>D29</f>
        <v>3.75</v>
      </c>
      <c r="K31" s="144" t="s">
        <v>85</v>
      </c>
      <c r="L31" s="145"/>
      <c r="M31" s="146">
        <f>J31*E29</f>
        <v>187.5</v>
      </c>
      <c r="N31" s="147" t="s">
        <v>87</v>
      </c>
      <c r="O31" s="148"/>
      <c r="T31" s="79"/>
      <c r="U31" s="56"/>
    </row>
    <row r="32" spans="2:21" ht="14.15" x14ac:dyDescent="0.35">
      <c r="G32" s="70"/>
      <c r="H32" s="70"/>
      <c r="I32" s="20"/>
      <c r="J32" s="149">
        <v>49000</v>
      </c>
      <c r="K32" s="144" t="s">
        <v>86</v>
      </c>
      <c r="L32" s="145"/>
      <c r="M32" s="150">
        <f>M31/J33</f>
        <v>6.0204745960884347</v>
      </c>
      <c r="N32" s="147" t="s">
        <v>88</v>
      </c>
      <c r="O32" s="148"/>
      <c r="T32" s="56"/>
      <c r="U32" s="56"/>
    </row>
    <row r="33" spans="2:26" ht="15.45" x14ac:dyDescent="0.4">
      <c r="B33" s="8" t="s">
        <v>91</v>
      </c>
      <c r="C33" s="10" t="s">
        <v>6</v>
      </c>
      <c r="D33" s="10"/>
      <c r="E33" s="13"/>
      <c r="F33" s="12">
        <f>((F25*F27*0.01)-F31)</f>
        <v>1719.4795254039116</v>
      </c>
      <c r="G33" s="55"/>
      <c r="H33" s="55"/>
      <c r="I33" s="206"/>
      <c r="J33" s="151">
        <f>J32/F24</f>
        <v>31.143724137931038</v>
      </c>
      <c r="K33" s="152" t="s">
        <v>89</v>
      </c>
      <c r="L33" s="152"/>
      <c r="M33" s="153">
        <f>(M32/F25)*100</f>
        <v>0.41520514455782309</v>
      </c>
      <c r="N33" s="102" t="s">
        <v>4</v>
      </c>
      <c r="O33" s="103"/>
      <c r="T33" s="56"/>
      <c r="U33" s="56"/>
    </row>
    <row r="34" spans="2:26" ht="15.45" x14ac:dyDescent="0.4">
      <c r="B34" s="8" t="s">
        <v>92</v>
      </c>
      <c r="C34" s="10" t="s">
        <v>4</v>
      </c>
      <c r="D34" s="10"/>
      <c r="E34" s="13"/>
      <c r="F34" s="12">
        <f>(F33/F25)*100</f>
        <v>118.58479485544218</v>
      </c>
      <c r="G34" s="55"/>
      <c r="H34" s="55"/>
      <c r="J34" s="116"/>
      <c r="L34" s="56"/>
      <c r="M34" s="158" t="s">
        <v>134</v>
      </c>
      <c r="N34" s="100">
        <f>E59</f>
        <v>5</v>
      </c>
      <c r="O34" s="95" t="s">
        <v>3</v>
      </c>
      <c r="P34" s="159" t="s">
        <v>40</v>
      </c>
      <c r="Q34" s="197">
        <f>E77</f>
        <v>10</v>
      </c>
      <c r="R34" s="95" t="s">
        <v>3</v>
      </c>
      <c r="S34" s="95"/>
      <c r="T34" s="78"/>
      <c r="U34" s="56"/>
    </row>
    <row r="35" spans="2:26" ht="15.45" x14ac:dyDescent="0.4">
      <c r="B35" s="65" t="s">
        <v>10</v>
      </c>
      <c r="C35" s="66" t="s">
        <v>39</v>
      </c>
      <c r="D35" s="66"/>
      <c r="E35" s="81">
        <f>F35/F21</f>
        <v>1719.4795254039116</v>
      </c>
      <c r="F35" s="74">
        <f>(F33*F21)</f>
        <v>165070.0344387755</v>
      </c>
      <c r="G35" s="70"/>
      <c r="H35" s="70"/>
      <c r="I35" s="70"/>
      <c r="J35" s="213"/>
      <c r="K35" s="213"/>
      <c r="L35" s="161"/>
      <c r="M35" s="158" t="s">
        <v>133</v>
      </c>
      <c r="N35" s="161"/>
      <c r="O35" s="161"/>
      <c r="P35" s="162" t="s">
        <v>50</v>
      </c>
      <c r="Q35" s="158" t="s">
        <v>133</v>
      </c>
      <c r="R35" s="161"/>
      <c r="S35" s="161"/>
      <c r="T35" s="161"/>
      <c r="U35" s="95"/>
      <c r="V35" s="161"/>
      <c r="W35" s="161"/>
      <c r="X35" s="161"/>
      <c r="Y35" s="161"/>
      <c r="Z35" s="161"/>
    </row>
    <row r="36" spans="2:26" ht="15" x14ac:dyDescent="0.35">
      <c r="G36" s="313" t="s">
        <v>224</v>
      </c>
      <c r="H36" s="70"/>
      <c r="I36" s="70"/>
      <c r="J36" s="70"/>
      <c r="K36" s="70"/>
      <c r="M36" s="158" t="s">
        <v>117</v>
      </c>
      <c r="N36" s="158" t="s">
        <v>136</v>
      </c>
      <c r="O36" s="161"/>
      <c r="P36" s="161"/>
      <c r="Q36" s="158" t="s">
        <v>117</v>
      </c>
      <c r="R36" s="161"/>
      <c r="S36" s="161"/>
    </row>
    <row r="37" spans="2:26" ht="15.45" x14ac:dyDescent="0.4">
      <c r="B37" s="1" t="s">
        <v>99</v>
      </c>
      <c r="C37" s="10"/>
      <c r="D37" s="6" t="s">
        <v>160</v>
      </c>
      <c r="E37" s="82" t="s">
        <v>101</v>
      </c>
      <c r="F37" s="13"/>
      <c r="G37" s="313" t="s">
        <v>225</v>
      </c>
      <c r="H37" s="235"/>
      <c r="I37" s="192"/>
      <c r="J37" s="233"/>
      <c r="K37" s="233"/>
      <c r="L37" s="157"/>
      <c r="M37" s="164">
        <f>(N37*(F20/365))</f>
        <v>41333.444704310059</v>
      </c>
      <c r="N37" s="165">
        <f>(((SUM($F$40:$F$46)+$F$54)*0.5))</f>
        <v>47128</v>
      </c>
      <c r="O37" s="95" t="s">
        <v>52</v>
      </c>
      <c r="P37" s="95"/>
      <c r="Q37" s="166">
        <f>N37*$F$20/365</f>
        <v>41333.444704310052</v>
      </c>
      <c r="R37" s="95"/>
      <c r="S37" s="95"/>
    </row>
    <row r="38" spans="2:26" ht="15.45" x14ac:dyDescent="0.4">
      <c r="B38" s="65" t="s">
        <v>159</v>
      </c>
      <c r="C38" s="66" t="s">
        <v>39</v>
      </c>
      <c r="D38" s="122">
        <f>F15</f>
        <v>693.26122448979595</v>
      </c>
      <c r="E38" s="214">
        <f>F16</f>
        <v>173.31530612244899</v>
      </c>
      <c r="F38" s="315">
        <f>F17</f>
        <v>69326.1224489796</v>
      </c>
      <c r="G38" s="317">
        <f>F38/$F$62</f>
        <v>0.41097025309780982</v>
      </c>
      <c r="H38" s="245"/>
      <c r="I38" s="261"/>
      <c r="J38" s="53"/>
      <c r="K38" s="53"/>
      <c r="L38" s="157"/>
      <c r="M38" s="158"/>
      <c r="N38" s="168">
        <f>$N$37*$D$59*0.01</f>
        <v>47128</v>
      </c>
      <c r="O38" s="95" t="s">
        <v>53</v>
      </c>
      <c r="P38" s="95"/>
      <c r="Q38" s="95"/>
      <c r="R38" s="95"/>
      <c r="S38" s="95"/>
      <c r="T38" s="96"/>
      <c r="U38" s="56"/>
    </row>
    <row r="39" spans="2:26" ht="15.45" x14ac:dyDescent="0.4">
      <c r="B39" s="1"/>
      <c r="C39" s="10"/>
      <c r="E39" s="33"/>
      <c r="F39" s="13"/>
      <c r="G39" s="32"/>
      <c r="H39" s="32"/>
      <c r="I39" s="233"/>
      <c r="J39" s="233"/>
      <c r="K39" s="53"/>
      <c r="L39" s="160"/>
      <c r="M39" s="158"/>
      <c r="N39" s="357">
        <f>N37-N38</f>
        <v>0</v>
      </c>
      <c r="O39" s="95" t="s">
        <v>54</v>
      </c>
      <c r="P39" s="95"/>
      <c r="Q39" s="95"/>
      <c r="R39" s="95"/>
      <c r="S39" s="95"/>
      <c r="T39" s="154"/>
      <c r="U39" s="56"/>
    </row>
    <row r="40" spans="2:26" ht="15" x14ac:dyDescent="0.35">
      <c r="B40" s="244" t="s">
        <v>282</v>
      </c>
      <c r="C40" s="358" t="s">
        <v>287</v>
      </c>
      <c r="D40" s="86">
        <f>J27</f>
        <v>992</v>
      </c>
      <c r="E40" s="43">
        <v>0.93</v>
      </c>
      <c r="F40" s="32">
        <f>D40*E40*F9</f>
        <v>92256</v>
      </c>
      <c r="G40" s="245">
        <f t="shared" ref="G40:G47" si="0">F40/$F$62</f>
        <v>0.5469002207312923</v>
      </c>
      <c r="H40" s="245"/>
      <c r="L40" s="252"/>
      <c r="N40" s="169" t="s">
        <v>139</v>
      </c>
      <c r="T40" s="96"/>
    </row>
    <row r="41" spans="2:26" ht="15" x14ac:dyDescent="0.35">
      <c r="B41" s="321" t="s">
        <v>281</v>
      </c>
      <c r="C41" s="46" t="s">
        <v>12</v>
      </c>
      <c r="D41" s="44">
        <v>1</v>
      </c>
      <c r="E41" s="43">
        <v>0</v>
      </c>
      <c r="F41" s="32">
        <f>(D41*E41*$F$9)</f>
        <v>0</v>
      </c>
      <c r="G41" s="245">
        <f t="shared" si="0"/>
        <v>0</v>
      </c>
      <c r="H41" s="245"/>
      <c r="L41" s="171"/>
      <c r="N41" s="170">
        <f>($N$38*$E$59*0.01*($F$20/365))/($N$37)*100</f>
        <v>4.3852322084864683</v>
      </c>
      <c r="O41" s="95" t="s">
        <v>3</v>
      </c>
      <c r="P41" s="95"/>
      <c r="Q41" s="170">
        <f>($Q$34*($F$20/365))</f>
        <v>8.7704644169729367</v>
      </c>
      <c r="R41" s="95" t="s">
        <v>3</v>
      </c>
      <c r="S41" s="95"/>
      <c r="T41" s="96"/>
    </row>
    <row r="42" spans="2:26" ht="15" x14ac:dyDescent="0.35">
      <c r="B42" s="321" t="s">
        <v>231</v>
      </c>
      <c r="C42" s="46" t="s">
        <v>12</v>
      </c>
      <c r="D42" s="44">
        <v>1</v>
      </c>
      <c r="E42" s="43">
        <v>0</v>
      </c>
      <c r="F42" s="32">
        <f>(D42*E42*$F$9)</f>
        <v>0</v>
      </c>
      <c r="G42" s="245">
        <f t="shared" si="0"/>
        <v>0</v>
      </c>
      <c r="H42" s="245"/>
      <c r="J42" s="36"/>
      <c r="L42" s="167"/>
      <c r="M42" s="158"/>
      <c r="N42" s="172">
        <f>$N$37*$N$41*0.01</f>
        <v>2066.672235215503</v>
      </c>
      <c r="O42" s="234" t="s">
        <v>174</v>
      </c>
      <c r="P42" s="95"/>
      <c r="Q42" s="186">
        <f>(((SUM($F$40:$F$46)+F54)*0.5*$Q$41*0.01))</f>
        <v>4133.3444704310059</v>
      </c>
      <c r="R42" s="95" t="s">
        <v>105</v>
      </c>
      <c r="S42" s="95"/>
      <c r="T42" s="96"/>
    </row>
    <row r="43" spans="2:26" ht="15" x14ac:dyDescent="0.35">
      <c r="B43" s="321" t="s">
        <v>128</v>
      </c>
      <c r="C43" s="46" t="s">
        <v>12</v>
      </c>
      <c r="D43" s="44">
        <v>1</v>
      </c>
      <c r="E43" s="43">
        <v>0</v>
      </c>
      <c r="F43" s="32">
        <f t="shared" ref="F43" si="1">(D43*E43*$F$9)</f>
        <v>0</v>
      </c>
      <c r="G43" s="245">
        <f t="shared" si="0"/>
        <v>0</v>
      </c>
      <c r="H43" s="245"/>
      <c r="J43" s="36"/>
      <c r="L43" s="167"/>
      <c r="M43" s="158"/>
      <c r="N43" s="172"/>
      <c r="O43" s="234"/>
      <c r="P43" s="95"/>
      <c r="Q43" s="186"/>
      <c r="R43" s="95"/>
      <c r="S43" s="95"/>
      <c r="T43" s="96"/>
    </row>
    <row r="44" spans="2:26" ht="15" x14ac:dyDescent="0.35">
      <c r="B44" s="321" t="s">
        <v>128</v>
      </c>
      <c r="C44" s="46" t="s">
        <v>12</v>
      </c>
      <c r="D44" s="44">
        <v>1</v>
      </c>
      <c r="E44" s="43">
        <v>0</v>
      </c>
      <c r="F44" s="32">
        <f>(D44*E44*$F$9)</f>
        <v>0</v>
      </c>
      <c r="G44" s="245">
        <f t="shared" ref="G44" si="2">F44/$F$62</f>
        <v>0</v>
      </c>
      <c r="H44" s="245"/>
      <c r="J44" s="36"/>
      <c r="L44" s="167"/>
      <c r="M44" s="158"/>
      <c r="N44" s="172"/>
      <c r="O44" s="234"/>
      <c r="P44" s="95"/>
      <c r="Q44" s="186"/>
      <c r="R44" s="95"/>
      <c r="S44" s="95"/>
      <c r="T44" s="96"/>
    </row>
    <row r="45" spans="2:26" ht="15" x14ac:dyDescent="0.35">
      <c r="B45" s="321" t="s">
        <v>272</v>
      </c>
      <c r="C45" s="46" t="s">
        <v>12</v>
      </c>
      <c r="D45" s="44">
        <v>1</v>
      </c>
      <c r="E45" s="43">
        <v>0</v>
      </c>
      <c r="F45" s="32">
        <f>(D45*E45*$F$9)</f>
        <v>0</v>
      </c>
      <c r="G45" s="245">
        <f t="shared" si="0"/>
        <v>0</v>
      </c>
      <c r="H45" s="245"/>
      <c r="I45" s="323" t="s">
        <v>234</v>
      </c>
      <c r="J45" s="53" t="s">
        <v>235</v>
      </c>
      <c r="K45" s="21" t="s">
        <v>236</v>
      </c>
      <c r="L45" s="167"/>
      <c r="M45" s="158"/>
      <c r="N45" s="173"/>
      <c r="O45" s="95"/>
      <c r="P45" s="95"/>
      <c r="Q45" s="95" t="s">
        <v>135</v>
      </c>
      <c r="R45" s="95"/>
      <c r="S45" s="95"/>
      <c r="T45" s="96"/>
    </row>
    <row r="46" spans="2:26" ht="15" x14ac:dyDescent="0.35">
      <c r="B46" s="14" t="s">
        <v>94</v>
      </c>
      <c r="C46" s="46" t="s">
        <v>12</v>
      </c>
      <c r="D46" s="44">
        <v>1</v>
      </c>
      <c r="E46" s="43">
        <v>0</v>
      </c>
      <c r="F46" s="32">
        <f>(D46*E46*$F$9)</f>
        <v>0</v>
      </c>
      <c r="G46" s="245">
        <f t="shared" si="0"/>
        <v>0</v>
      </c>
      <c r="H46" s="245"/>
      <c r="I46" s="133">
        <f>SUM(F41:F46)</f>
        <v>0</v>
      </c>
      <c r="J46" s="69">
        <f>D40</f>
        <v>992</v>
      </c>
      <c r="K46" s="324">
        <f>I46/J46</f>
        <v>0</v>
      </c>
      <c r="L46" s="163"/>
      <c r="M46" s="164">
        <f>(($F$20/365)*N46)</f>
        <v>60802.229010548435</v>
      </c>
      <c r="N46" s="173">
        <f>($F$16*$F$9*$F$10*0.01)</f>
        <v>69326.1224489796</v>
      </c>
      <c r="O46" s="95" t="s">
        <v>51</v>
      </c>
      <c r="P46" s="95"/>
      <c r="Q46" s="194">
        <f>N46*$F$20/365</f>
        <v>60802.229010548435</v>
      </c>
      <c r="R46" s="95"/>
      <c r="S46" s="161"/>
      <c r="T46" s="96"/>
    </row>
    <row r="47" spans="2:26" ht="15.45" x14ac:dyDescent="0.4">
      <c r="B47" s="117" t="s">
        <v>284</v>
      </c>
      <c r="C47" s="118"/>
      <c r="D47" s="243"/>
      <c r="E47" s="74">
        <f>F47/F9</f>
        <v>1615.8212244897959</v>
      </c>
      <c r="F47" s="74">
        <f>SUM(F40:F46)+F38</f>
        <v>161582.12244897959</v>
      </c>
      <c r="G47" s="245">
        <f t="shared" si="0"/>
        <v>0.95787047382910206</v>
      </c>
      <c r="H47" s="245"/>
      <c r="I47" s="326" t="s">
        <v>237</v>
      </c>
      <c r="K47" s="136"/>
      <c r="L47" s="167"/>
      <c r="M47" s="158"/>
      <c r="N47" s="174">
        <f>N46*$D$59*0.01</f>
        <v>69326.1224489796</v>
      </c>
      <c r="O47" s="95" t="s">
        <v>53</v>
      </c>
      <c r="P47" s="95"/>
      <c r="Q47" s="166">
        <f>Q37+Q46</f>
        <v>102135.67371485848</v>
      </c>
      <c r="R47" s="95" t="s">
        <v>11</v>
      </c>
      <c r="S47" s="175"/>
      <c r="T47" s="96"/>
    </row>
    <row r="48" spans="2:26" ht="15.45" x14ac:dyDescent="0.4">
      <c r="B48" s="246"/>
      <c r="C48" s="247"/>
      <c r="D48" s="248"/>
      <c r="E48" s="59"/>
      <c r="F48" s="59"/>
      <c r="G48" s="249"/>
      <c r="H48" s="249"/>
      <c r="I48" s="327">
        <f>F54</f>
        <v>2000</v>
      </c>
      <c r="J48" s="8"/>
      <c r="K48" s="324">
        <f>I48/J46</f>
        <v>2.0161290322580645</v>
      </c>
      <c r="L48" s="167"/>
      <c r="M48" s="158"/>
      <c r="N48" s="174"/>
      <c r="O48" s="95"/>
      <c r="P48" s="95"/>
      <c r="Q48" s="166"/>
      <c r="R48" s="95"/>
      <c r="S48" s="175"/>
      <c r="T48" s="96"/>
    </row>
    <row r="49" spans="2:21" ht="15.45" x14ac:dyDescent="0.4">
      <c r="B49" s="75" t="s">
        <v>177</v>
      </c>
      <c r="C49" s="46"/>
      <c r="D49" s="44"/>
      <c r="E49" s="43"/>
      <c r="F49" s="7">
        <f>F47-F38</f>
        <v>92255.999999999985</v>
      </c>
      <c r="G49" s="316">
        <f>F49/$F$62</f>
        <v>0.5469002207312923</v>
      </c>
      <c r="H49" s="245"/>
      <c r="I49" s="239"/>
      <c r="K49" s="325">
        <f>K46+K48</f>
        <v>2.0161290322580645</v>
      </c>
      <c r="L49" s="167"/>
      <c r="M49" s="158"/>
      <c r="N49" s="174">
        <f>N46-N47</f>
        <v>0</v>
      </c>
      <c r="O49" s="95" t="s">
        <v>54</v>
      </c>
      <c r="P49" s="95"/>
      <c r="Q49" s="95"/>
      <c r="R49" s="95"/>
      <c r="S49" s="95"/>
      <c r="T49" s="96"/>
    </row>
    <row r="50" spans="2:21" ht="15.45" x14ac:dyDescent="0.4">
      <c r="B50" s="75"/>
      <c r="C50" s="46"/>
      <c r="D50" s="44"/>
      <c r="E50" s="43"/>
      <c r="F50" s="32"/>
      <c r="G50" s="245"/>
      <c r="H50" s="245"/>
      <c r="I50" s="239"/>
      <c r="L50" s="167"/>
      <c r="M50" s="158"/>
      <c r="N50" s="174"/>
      <c r="O50" s="95"/>
      <c r="P50" s="95"/>
      <c r="Q50" s="95"/>
      <c r="R50" s="95"/>
      <c r="S50" s="95"/>
      <c r="T50" s="96"/>
    </row>
    <row r="51" spans="2:21" ht="15.45" x14ac:dyDescent="0.4">
      <c r="B51" s="75" t="s">
        <v>233</v>
      </c>
      <c r="C51" s="46"/>
      <c r="D51" s="10" t="s">
        <v>1</v>
      </c>
      <c r="E51" s="16" t="s">
        <v>6</v>
      </c>
      <c r="F51" s="32"/>
      <c r="G51" s="32"/>
      <c r="H51" s="32"/>
      <c r="I51" s="32"/>
      <c r="L51" s="167"/>
      <c r="M51" s="161"/>
      <c r="N51" s="176">
        <f>($F$16*$F$9*$F$10*0.01)*$N$41*0.01</f>
        <v>3040.1114505274218</v>
      </c>
      <c r="O51" s="95" t="s">
        <v>57</v>
      </c>
      <c r="P51" s="95"/>
      <c r="Q51" s="185">
        <f>($F$16*$F$9*$F$10*0.01)*$Q$41*0.01</f>
        <v>6080.2229010548435</v>
      </c>
      <c r="R51" s="95" t="s">
        <v>51</v>
      </c>
      <c r="S51" s="95"/>
      <c r="T51" s="96"/>
    </row>
    <row r="52" spans="2:21" ht="15" x14ac:dyDescent="0.35">
      <c r="B52" s="14" t="s">
        <v>97</v>
      </c>
      <c r="C52" s="202" t="s">
        <v>12</v>
      </c>
      <c r="D52" s="203">
        <f>F$9</f>
        <v>100</v>
      </c>
      <c r="E52" s="43">
        <v>5</v>
      </c>
      <c r="F52" s="32">
        <f>(D52*E52)</f>
        <v>500</v>
      </c>
      <c r="G52" s="32"/>
      <c r="H52" s="32"/>
      <c r="I52" s="32"/>
      <c r="L52" s="167"/>
      <c r="M52" s="161"/>
      <c r="N52" s="174"/>
      <c r="O52" s="95"/>
      <c r="P52" s="95"/>
      <c r="Q52" s="95"/>
      <c r="R52" s="95"/>
      <c r="S52" s="95"/>
      <c r="T52" s="96"/>
    </row>
    <row r="53" spans="2:21" ht="15" x14ac:dyDescent="0.35">
      <c r="B53" s="14" t="s">
        <v>98</v>
      </c>
      <c r="C53" s="202" t="s">
        <v>12</v>
      </c>
      <c r="D53" s="203">
        <f>F$9</f>
        <v>100</v>
      </c>
      <c r="E53" s="43">
        <v>15</v>
      </c>
      <c r="F53" s="32">
        <f>(D53*E53)</f>
        <v>1500</v>
      </c>
      <c r="G53" s="32"/>
      <c r="H53" s="32"/>
      <c r="I53" s="32"/>
      <c r="L53" s="167"/>
      <c r="M53" s="161"/>
      <c r="N53" s="177">
        <f>(N42+N51)</f>
        <v>5106.7836857429247</v>
      </c>
      <c r="O53" s="95" t="s">
        <v>41</v>
      </c>
      <c r="P53" s="95"/>
      <c r="Q53" s="178">
        <f>(Q42+Q51)</f>
        <v>10213.567371485849</v>
      </c>
      <c r="R53" s="95" t="s">
        <v>41</v>
      </c>
      <c r="S53" s="95"/>
      <c r="T53" s="96"/>
    </row>
    <row r="54" spans="2:21" ht="15.45" x14ac:dyDescent="0.4">
      <c r="B54" s="75" t="s">
        <v>232</v>
      </c>
      <c r="C54" s="119"/>
      <c r="D54" s="120"/>
      <c r="E54" s="127">
        <f>F54/F9</f>
        <v>20</v>
      </c>
      <c r="F54" s="74">
        <f>F52+F53</f>
        <v>2000</v>
      </c>
      <c r="G54" s="245">
        <f>F54/$F$62</f>
        <v>1.1856144223276369E-2</v>
      </c>
      <c r="H54" s="32"/>
      <c r="I54" s="7"/>
      <c r="L54" s="322"/>
      <c r="M54" s="158" t="s">
        <v>138</v>
      </c>
      <c r="N54" s="179"/>
      <c r="O54" s="95"/>
      <c r="P54" s="95"/>
      <c r="Q54" s="95"/>
      <c r="R54" s="95"/>
      <c r="S54" s="95"/>
      <c r="T54" s="96"/>
      <c r="U54" s="56"/>
    </row>
    <row r="55" spans="2:21" ht="15.45" x14ac:dyDescent="0.4">
      <c r="B55" s="75"/>
      <c r="C55" s="24"/>
      <c r="D55" s="189" t="s">
        <v>161</v>
      </c>
      <c r="E55" s="189" t="s">
        <v>104</v>
      </c>
      <c r="F55" s="7"/>
      <c r="G55" s="32"/>
      <c r="H55" s="32"/>
      <c r="I55" s="32"/>
      <c r="L55" s="167"/>
      <c r="M55" s="180">
        <f>M46+M37</f>
        <v>102135.67371485849</v>
      </c>
      <c r="N55" s="179">
        <f>N38+N47</f>
        <v>116454.1224489796</v>
      </c>
      <c r="O55" s="169" t="s">
        <v>137</v>
      </c>
      <c r="P55" s="95"/>
      <c r="Q55" s="95"/>
      <c r="R55" s="95"/>
      <c r="S55" s="95"/>
      <c r="T55" s="96"/>
      <c r="U55" s="56"/>
    </row>
    <row r="56" spans="2:21" ht="15.45" x14ac:dyDescent="0.4">
      <c r="B56" s="65" t="s">
        <v>102</v>
      </c>
      <c r="C56" s="66"/>
      <c r="D56" s="215">
        <f>(F56/L25)*100</f>
        <v>117.51589256392212</v>
      </c>
      <c r="E56" s="74">
        <f>F56/$F$21</f>
        <v>1703.9804421768706</v>
      </c>
      <c r="F56" s="74">
        <f>F47+F54</f>
        <v>163582.12244897959</v>
      </c>
      <c r="G56" s="245">
        <f>F56/$F$62</f>
        <v>0.96972661805237848</v>
      </c>
      <c r="H56" s="245"/>
      <c r="I56" s="7"/>
      <c r="L56" s="167"/>
      <c r="M56" s="161"/>
      <c r="N56" s="179"/>
      <c r="O56" s="169"/>
      <c r="P56" s="95"/>
      <c r="Q56" s="95"/>
      <c r="R56" s="95"/>
      <c r="S56" s="95"/>
      <c r="T56" s="96"/>
      <c r="U56" s="56"/>
    </row>
    <row r="57" spans="2:21" ht="15.45" x14ac:dyDescent="0.4">
      <c r="C57" s="8"/>
      <c r="D57" s="8"/>
      <c r="E57" s="6"/>
      <c r="F57" s="156" t="s">
        <v>141</v>
      </c>
      <c r="I57" s="36" t="s">
        <v>285</v>
      </c>
      <c r="J57" s="36" t="s">
        <v>142</v>
      </c>
      <c r="K57" s="36"/>
      <c r="L57" s="167"/>
      <c r="M57" s="181" t="s">
        <v>117</v>
      </c>
      <c r="N57" s="179">
        <f>N39+N49</f>
        <v>0</v>
      </c>
      <c r="O57" s="169" t="s">
        <v>58</v>
      </c>
      <c r="P57" s="95"/>
      <c r="Q57" s="95"/>
      <c r="R57" s="95"/>
      <c r="S57" s="95"/>
      <c r="T57" s="96"/>
      <c r="U57" s="56"/>
    </row>
    <row r="58" spans="2:21" ht="15" x14ac:dyDescent="0.35">
      <c r="B58" s="8" t="s">
        <v>131</v>
      </c>
      <c r="C58" s="8"/>
      <c r="D58" s="8" t="s">
        <v>42</v>
      </c>
      <c r="E58" s="16" t="s">
        <v>112</v>
      </c>
      <c r="F58" s="36" t="s">
        <v>132</v>
      </c>
      <c r="I58" s="36" t="s">
        <v>132</v>
      </c>
      <c r="J58" s="347" t="s">
        <v>286</v>
      </c>
      <c r="K58" s="21"/>
      <c r="L58" s="182">
        <f>M58*$E$59*0.01</f>
        <v>5106.7836857429247</v>
      </c>
      <c r="M58" s="183">
        <f>M37+M46</f>
        <v>102135.67371485849</v>
      </c>
      <c r="N58" s="184">
        <f>N55+N57</f>
        <v>116454.1224489796</v>
      </c>
      <c r="O58" s="155" t="s">
        <v>59</v>
      </c>
      <c r="P58" s="102"/>
      <c r="Q58" s="102"/>
      <c r="R58" s="102"/>
      <c r="S58" s="102"/>
      <c r="T58" s="103"/>
      <c r="U58" s="56"/>
    </row>
    <row r="59" spans="2:21" ht="15" x14ac:dyDescent="0.35">
      <c r="B59" s="8" t="s">
        <v>130</v>
      </c>
      <c r="C59" s="10"/>
      <c r="D59" s="11">
        <v>100</v>
      </c>
      <c r="E59" s="42">
        <v>5</v>
      </c>
      <c r="F59" s="188">
        <f>M58</f>
        <v>102135.67371485849</v>
      </c>
      <c r="I59" s="356">
        <f>F59/F9</f>
        <v>1021.3567371485849</v>
      </c>
      <c r="J59" s="187">
        <f>I59*D59*0.01</f>
        <v>1021.356737148585</v>
      </c>
      <c r="K59" s="187"/>
      <c r="Q59" s="56"/>
      <c r="R59" s="56"/>
      <c r="S59" s="56"/>
      <c r="T59" s="56"/>
      <c r="U59" s="56"/>
    </row>
    <row r="60" spans="2:21" ht="15.45" x14ac:dyDescent="0.4">
      <c r="B60" s="65" t="s">
        <v>103</v>
      </c>
      <c r="C60" s="66"/>
      <c r="D60" s="121"/>
      <c r="E60" s="127">
        <f>F60/$F$21</f>
        <v>53.195663393155463</v>
      </c>
      <c r="F60" s="81">
        <f>N53</f>
        <v>5106.7836857429247</v>
      </c>
      <c r="G60" s="316">
        <f>F60/$F$62</f>
        <v>3.027338194762149E-2</v>
      </c>
      <c r="H60" s="245"/>
      <c r="I60" s="88"/>
      <c r="Q60" s="56"/>
      <c r="R60" s="56"/>
      <c r="U60" s="56"/>
    </row>
    <row r="61" spans="2:21" ht="15.45" x14ac:dyDescent="0.4">
      <c r="B61" s="1"/>
      <c r="C61" s="1"/>
      <c r="D61" s="6" t="s">
        <v>161</v>
      </c>
      <c r="E61" s="6"/>
      <c r="Q61" s="56"/>
      <c r="R61" s="56"/>
      <c r="U61" s="56"/>
    </row>
    <row r="62" spans="2:21" ht="15.45" x14ac:dyDescent="0.4">
      <c r="B62" s="65" t="s">
        <v>143</v>
      </c>
      <c r="C62" s="65"/>
      <c r="D62" s="122">
        <f>F62/$J$102*100</f>
        <v>121.18455900482941</v>
      </c>
      <c r="E62" s="74">
        <f>F62/$F$21</f>
        <v>1757.1761055700263</v>
      </c>
      <c r="F62" s="81">
        <f>F56+F60</f>
        <v>168688.90613472252</v>
      </c>
      <c r="G62" s="314">
        <f>F62/$F$62</f>
        <v>1</v>
      </c>
      <c r="H62" s="245"/>
      <c r="I62" s="88"/>
      <c r="Q62" s="56"/>
      <c r="R62" s="56"/>
      <c r="U62" s="56"/>
    </row>
    <row r="63" spans="2:21" ht="15.45" x14ac:dyDescent="0.4">
      <c r="B63" s="1"/>
      <c r="C63" s="1"/>
      <c r="D63" s="40"/>
      <c r="E63" s="189" t="s">
        <v>104</v>
      </c>
      <c r="F63" s="76"/>
      <c r="Q63" s="56"/>
      <c r="R63" s="56"/>
      <c r="U63" s="56"/>
    </row>
    <row r="64" spans="2:21" ht="15.45" x14ac:dyDescent="0.4">
      <c r="B64" s="65" t="s">
        <v>56</v>
      </c>
      <c r="C64" s="66"/>
      <c r="D64" s="271">
        <f>F64/$J$102*100</f>
        <v>-2.5997641493872181</v>
      </c>
      <c r="E64" s="271">
        <f>F64/F21</f>
        <v>-37.696580166114664</v>
      </c>
      <c r="F64" s="360">
        <f>$F$35-$F$56-$F$60</f>
        <v>-3618.8716959470075</v>
      </c>
      <c r="G64" s="316">
        <f>F64/$F$62</f>
        <v>-2.1452932376340234E-2</v>
      </c>
      <c r="H64" s="245"/>
      <c r="Q64" s="56"/>
      <c r="R64" s="56"/>
      <c r="U64" s="56"/>
    </row>
    <row r="65" spans="2:21" ht="15.45" x14ac:dyDescent="0.4">
      <c r="B65" s="18" t="s">
        <v>223</v>
      </c>
      <c r="C65" s="18"/>
      <c r="D65" s="18"/>
      <c r="E65" s="18"/>
      <c r="F65" s="18"/>
      <c r="G65" s="2"/>
      <c r="H65" s="2"/>
      <c r="I65" s="18"/>
      <c r="Q65" s="56"/>
      <c r="R65" s="56"/>
      <c r="S65" s="56"/>
      <c r="T65" s="56"/>
      <c r="U65" s="56"/>
    </row>
    <row r="66" spans="2:21" ht="15.45" x14ac:dyDescent="0.4">
      <c r="B66" s="65" t="s">
        <v>108</v>
      </c>
      <c r="C66" s="124"/>
      <c r="D66" s="121"/>
      <c r="E66" s="125"/>
      <c r="F66" s="190">
        <f>(($F$60+$F$64)/((($F$56-$F$38)*0.5+$F$38)*($F$20/365)))</f>
        <v>1.4567995056750273E-2</v>
      </c>
      <c r="Q66" s="56"/>
      <c r="R66" s="56"/>
      <c r="S66" s="56"/>
      <c r="T66" s="56"/>
      <c r="U66" s="56"/>
    </row>
    <row r="67" spans="2:21" ht="15.45" x14ac:dyDescent="0.4">
      <c r="B67" s="1" t="s">
        <v>49</v>
      </c>
      <c r="C67" s="16"/>
      <c r="D67" s="8"/>
      <c r="F67" s="191" t="str">
        <f>IF(J77=0,"Zero Equity",J78*0.01)</f>
        <v>Zero Equity</v>
      </c>
      <c r="I67" s="18"/>
      <c r="Q67" s="56"/>
      <c r="R67" s="56"/>
      <c r="S67" s="56"/>
      <c r="T67" s="56"/>
      <c r="U67" s="56"/>
    </row>
    <row r="68" spans="2:21" ht="15.45" x14ac:dyDescent="0.4">
      <c r="B68" s="216"/>
      <c r="C68" s="216"/>
      <c r="D68" s="216"/>
      <c r="E68" s="216"/>
      <c r="F68" s="216"/>
      <c r="G68" s="62"/>
      <c r="H68" s="279" t="s">
        <v>200</v>
      </c>
      <c r="I68" s="216"/>
      <c r="Q68" s="56"/>
      <c r="R68" s="56"/>
      <c r="S68" s="56"/>
      <c r="T68" s="56"/>
      <c r="U68" s="56"/>
    </row>
    <row r="69" spans="2:21" ht="17.600000000000001" x14ac:dyDescent="0.4">
      <c r="B69" s="297" t="s">
        <v>199</v>
      </c>
      <c r="C69" s="298"/>
      <c r="D69" s="299"/>
      <c r="E69" s="300" t="s">
        <v>4</v>
      </c>
      <c r="F69" s="301">
        <f>((($F$62+($F$31-$F$28)*$F$21)/($F$25*$F$21))*100)/(1-$E$28*0.01)</f>
        <v>121.59976414938723</v>
      </c>
      <c r="G69" s="218"/>
      <c r="H69" s="278">
        <f>$F$25*$F$21</f>
        <v>139200</v>
      </c>
      <c r="I69" s="209"/>
      <c r="Q69" s="56"/>
      <c r="T69" s="56"/>
      <c r="U69" s="56"/>
    </row>
    <row r="70" spans="2:21" ht="15.45" x14ac:dyDescent="0.4">
      <c r="B70" s="207"/>
      <c r="C70" s="72"/>
      <c r="D70" s="212"/>
      <c r="E70" s="330" t="s">
        <v>240</v>
      </c>
      <c r="F70" s="217"/>
      <c r="G70" s="218"/>
      <c r="H70" s="218">
        <f>(1-($E$28*0.01))</f>
        <v>1</v>
      </c>
      <c r="I70" s="209"/>
      <c r="L70" s="169"/>
      <c r="M70" s="169"/>
      <c r="N70" s="193"/>
      <c r="O70" s="194"/>
      <c r="P70" s="56"/>
      <c r="T70" s="56"/>
      <c r="U70" s="56"/>
    </row>
    <row r="71" spans="2:21" ht="15.45" x14ac:dyDescent="0.4">
      <c r="B71" s="296" t="s">
        <v>190</v>
      </c>
      <c r="C71" s="66"/>
      <c r="D71" s="65" t="s">
        <v>269</v>
      </c>
      <c r="E71" s="269">
        <v>63</v>
      </c>
      <c r="F71" s="123">
        <f>((F69/(E71*0.01)))</f>
        <v>193.01549864982098</v>
      </c>
      <c r="G71" s="218"/>
      <c r="H71" s="280">
        <f>H69*H70</f>
        <v>139200</v>
      </c>
      <c r="I71" s="209" t="s">
        <v>201</v>
      </c>
      <c r="L71" s="169"/>
      <c r="M71" s="169"/>
      <c r="N71" s="193"/>
      <c r="O71" s="194"/>
      <c r="P71" s="56"/>
      <c r="T71" s="56"/>
      <c r="U71" s="56"/>
    </row>
    <row r="72" spans="2:21" ht="17.600000000000001" x14ac:dyDescent="0.4">
      <c r="B72" s="207"/>
      <c r="C72" s="72"/>
      <c r="D72" s="212"/>
      <c r="E72" s="219"/>
      <c r="F72" s="217"/>
      <c r="G72" s="218"/>
      <c r="H72" s="281"/>
      <c r="I72" s="209"/>
      <c r="L72" s="169"/>
      <c r="M72" s="169"/>
      <c r="N72" s="193"/>
      <c r="O72" s="194"/>
      <c r="P72" s="56"/>
      <c r="T72" s="56"/>
      <c r="U72" s="56"/>
    </row>
    <row r="73" spans="2:21" ht="17.600000000000001" x14ac:dyDescent="0.4">
      <c r="B73" s="65" t="s">
        <v>193</v>
      </c>
      <c r="C73" s="125"/>
      <c r="D73" s="66" t="s">
        <v>4</v>
      </c>
      <c r="E73" s="125"/>
      <c r="F73" s="122">
        <f>((F35+F38-F62-(F14*F9))/((F9*F10))*100)</f>
        <v>163.50282076013244</v>
      </c>
      <c r="G73" s="221"/>
      <c r="H73" s="282"/>
      <c r="I73" s="220"/>
      <c r="J73" s="56"/>
      <c r="K73" s="56"/>
      <c r="L73" s="56"/>
      <c r="M73" s="56"/>
      <c r="O73" s="56"/>
      <c r="T73" s="56"/>
      <c r="U73" s="56"/>
    </row>
    <row r="74" spans="2:21" ht="17.600000000000001" x14ac:dyDescent="0.4">
      <c r="B74" s="222"/>
      <c r="C74" s="70"/>
      <c r="D74" s="70"/>
      <c r="E74" s="70"/>
      <c r="F74" s="70"/>
      <c r="G74" s="70"/>
      <c r="H74" s="283"/>
      <c r="I74" s="70"/>
      <c r="J74" s="90" t="s">
        <v>37</v>
      </c>
      <c r="K74" s="254"/>
      <c r="L74" s="91"/>
      <c r="M74" s="92"/>
      <c r="N74" s="93"/>
      <c r="O74" s="56"/>
      <c r="R74" s="56"/>
      <c r="S74" s="56"/>
      <c r="T74" s="56"/>
      <c r="U74" s="56"/>
    </row>
    <row r="75" spans="2:21" ht="15.45" x14ac:dyDescent="0.4">
      <c r="B75" s="207" t="s">
        <v>155</v>
      </c>
      <c r="C75" s="72"/>
      <c r="D75" s="72"/>
      <c r="E75" s="70"/>
      <c r="F75" s="223"/>
      <c r="G75" s="70"/>
      <c r="H75" s="70"/>
      <c r="I75" s="70"/>
      <c r="J75" s="198"/>
      <c r="K75" s="169"/>
      <c r="L75" s="199"/>
      <c r="M75" s="95"/>
      <c r="N75" s="96"/>
      <c r="O75" s="56"/>
      <c r="P75" s="56"/>
      <c r="S75" s="56"/>
      <c r="T75" s="56"/>
      <c r="U75" s="56"/>
    </row>
    <row r="76" spans="2:21" ht="15.45" x14ac:dyDescent="0.4">
      <c r="B76" s="212"/>
      <c r="C76" s="72"/>
      <c r="D76" s="72" t="s">
        <v>247</v>
      </c>
      <c r="E76" s="70"/>
      <c r="F76" s="223"/>
      <c r="G76" s="70"/>
      <c r="H76" s="70"/>
      <c r="I76" s="70"/>
      <c r="J76" s="198"/>
      <c r="K76" s="169"/>
      <c r="L76" s="199"/>
      <c r="M76" s="95"/>
      <c r="N76" s="96"/>
      <c r="O76" s="56"/>
      <c r="P76" s="56"/>
      <c r="S76" s="56"/>
      <c r="T76" s="56"/>
      <c r="U76" s="56"/>
    </row>
    <row r="77" spans="2:21" ht="15.45" x14ac:dyDescent="0.4">
      <c r="B77" s="207" t="s">
        <v>192</v>
      </c>
      <c r="C77" s="72"/>
      <c r="D77" s="72"/>
      <c r="E77" s="224">
        <v>10</v>
      </c>
      <c r="F77" s="217">
        <f>((($F$56+Q53+($F$31-$F$28)*$F$21)/($F$25*$F$21))*100)/(1-$E$28*0.01)</f>
        <v>125.26843059029449</v>
      </c>
      <c r="G77" s="70"/>
      <c r="H77" s="70"/>
      <c r="I77" s="70"/>
      <c r="J77" s="94">
        <f>(100-D59)</f>
        <v>0</v>
      </c>
      <c r="K77" s="255"/>
      <c r="L77" s="95" t="s">
        <v>34</v>
      </c>
      <c r="M77" s="95"/>
      <c r="N77" s="96"/>
      <c r="O77" s="56"/>
      <c r="P77" s="56"/>
      <c r="S77" s="56"/>
      <c r="T77" s="56"/>
      <c r="U77" s="56"/>
    </row>
    <row r="78" spans="2:21" ht="15.45" x14ac:dyDescent="0.4">
      <c r="B78" s="207"/>
      <c r="C78" s="72"/>
      <c r="D78" s="72"/>
      <c r="E78" s="225"/>
      <c r="F78" s="217"/>
      <c r="G78" s="70"/>
      <c r="H78" s="70"/>
      <c r="I78" s="70"/>
      <c r="J78" s="227">
        <f>IF(J81=0,0,(J80/J81)*100)</f>
        <v>0</v>
      </c>
      <c r="K78" s="256"/>
      <c r="L78" s="169" t="s">
        <v>33</v>
      </c>
      <c r="M78" s="95"/>
      <c r="N78" s="96"/>
      <c r="O78" s="56"/>
      <c r="S78" s="56"/>
      <c r="T78" s="56"/>
      <c r="U78" s="56"/>
    </row>
    <row r="79" spans="2:21" ht="15.45" x14ac:dyDescent="0.4">
      <c r="B79" s="207" t="s">
        <v>191</v>
      </c>
      <c r="C79" s="66"/>
      <c r="D79" s="65" t="s">
        <v>150</v>
      </c>
      <c r="E79" s="226">
        <f>E71</f>
        <v>63</v>
      </c>
      <c r="F79" s="123">
        <f>((F77/(E79*0.01)))</f>
        <v>198.83877871475315</v>
      </c>
      <c r="G79" s="70"/>
      <c r="H79" s="70"/>
      <c r="I79" s="70"/>
      <c r="J79" s="97"/>
      <c r="K79" s="199"/>
      <c r="L79" s="95"/>
      <c r="M79" s="95"/>
      <c r="N79" s="96"/>
      <c r="O79" s="56"/>
      <c r="S79" s="56"/>
    </row>
    <row r="80" spans="2:21" ht="15.45" x14ac:dyDescent="0.4">
      <c r="B80" s="18" t="s">
        <v>140</v>
      </c>
      <c r="C80" s="18"/>
      <c r="D80" s="18"/>
      <c r="E80" s="18"/>
      <c r="F80" s="18"/>
      <c r="J80" s="98">
        <f>F64</f>
        <v>-3618.8716959470075</v>
      </c>
      <c r="K80" s="257"/>
      <c r="L80" s="95" t="s">
        <v>110</v>
      </c>
      <c r="M80" s="95"/>
      <c r="N80" s="96"/>
      <c r="O80" s="56"/>
      <c r="S80" s="56"/>
    </row>
    <row r="81" spans="2:19" ht="15.45" x14ac:dyDescent="0.4">
      <c r="B81" s="18"/>
      <c r="C81" s="18"/>
      <c r="D81" s="18"/>
      <c r="E81" s="18"/>
      <c r="F81" s="18"/>
      <c r="J81" s="99">
        <f>IF(D59=100,0,(((($F$56-$F$38)*0.5+$F$38)*(100-D59)*0.01)*($F$20/365)))</f>
        <v>0</v>
      </c>
      <c r="K81" s="258"/>
      <c r="L81" s="95" t="s">
        <v>32</v>
      </c>
      <c r="M81" s="95"/>
      <c r="N81" s="96"/>
      <c r="O81" s="56"/>
      <c r="S81" s="56"/>
    </row>
    <row r="82" spans="2:19" ht="15.45" x14ac:dyDescent="0.4">
      <c r="B82" s="1" t="s">
        <v>156</v>
      </c>
      <c r="C82" s="8"/>
      <c r="D82" s="6" t="s">
        <v>4</v>
      </c>
      <c r="E82" s="77" t="s">
        <v>104</v>
      </c>
      <c r="F82" s="7" t="s">
        <v>11</v>
      </c>
      <c r="G82" s="32"/>
      <c r="H82" s="32"/>
      <c r="J82" s="98" t="s">
        <v>157</v>
      </c>
      <c r="K82" s="257"/>
      <c r="L82" s="95"/>
      <c r="M82" s="95"/>
      <c r="N82" s="96"/>
      <c r="O82" s="56"/>
      <c r="S82" s="56"/>
    </row>
    <row r="83" spans="2:19" ht="15.45" x14ac:dyDescent="0.4">
      <c r="B83" s="65" t="s">
        <v>106</v>
      </c>
      <c r="C83" s="126"/>
      <c r="D83" s="127">
        <f>E83/J28*100</f>
        <v>100.16409645740214</v>
      </c>
      <c r="E83" s="127">
        <f>(F56-F38+F60)/$F$21</f>
        <v>1035.0289967264887</v>
      </c>
      <c r="F83" s="74">
        <f>(F62-F38)</f>
        <v>99362.783685742921</v>
      </c>
      <c r="G83" s="32"/>
      <c r="H83" s="32"/>
      <c r="J83" s="104" t="s">
        <v>36</v>
      </c>
      <c r="K83" s="259"/>
      <c r="L83" s="100">
        <f>IF(J77=0,0,(F67/F66))</f>
        <v>0</v>
      </c>
      <c r="M83" s="95"/>
      <c r="N83" s="96"/>
      <c r="O83" s="56"/>
      <c r="S83" s="56"/>
    </row>
    <row r="84" spans="2:19" ht="15.45" x14ac:dyDescent="0.4">
      <c r="B84" s="207"/>
      <c r="C84" s="208"/>
      <c r="D84" s="209"/>
      <c r="E84" s="209"/>
      <c r="F84" s="59"/>
      <c r="G84" s="32"/>
      <c r="H84" s="32"/>
      <c r="J84" s="98"/>
      <c r="K84" s="257"/>
      <c r="L84" s="95"/>
      <c r="M84" s="95"/>
      <c r="N84" s="96"/>
      <c r="O84" s="56"/>
      <c r="S84" s="56"/>
    </row>
    <row r="85" spans="2:19" ht="15.45" x14ac:dyDescent="0.4">
      <c r="B85" s="65" t="s">
        <v>144</v>
      </c>
      <c r="C85" s="125"/>
      <c r="D85" s="210">
        <f>(((F34*H85*0.01)-(F10*F16*0.01))/(H85-F10))*100</f>
        <v>96.516040312294294</v>
      </c>
      <c r="E85" s="211">
        <f>J28*D85*0.01</f>
        <v>997.33241656037433</v>
      </c>
      <c r="G85" s="32"/>
      <c r="H85" s="306">
        <f>(F25*(100-E21)*0.01)</f>
        <v>1392</v>
      </c>
      <c r="I85" t="s">
        <v>218</v>
      </c>
      <c r="J85" s="99">
        <f>IF($F$20=0,0,((($F$56-$F$38)*0.5+$F$38)*($F$20/365)))</f>
        <v>102135.67371485848</v>
      </c>
      <c r="K85" s="258"/>
      <c r="L85" s="95" t="s">
        <v>118</v>
      </c>
      <c r="M85" s="95"/>
      <c r="N85" s="96"/>
      <c r="O85" s="56"/>
      <c r="S85" s="56"/>
    </row>
    <row r="86" spans="2:19" ht="15.45" x14ac:dyDescent="0.4">
      <c r="D86" s="6" t="s">
        <v>4</v>
      </c>
      <c r="E86" s="12"/>
      <c r="F86" s="15"/>
      <c r="G86" s="32"/>
      <c r="H86" s="32"/>
      <c r="J86" s="101">
        <f>(F64+F54+F38)</f>
        <v>67707.250753032597</v>
      </c>
      <c r="K86" s="260"/>
      <c r="L86" s="102" t="s">
        <v>113</v>
      </c>
      <c r="M86" s="102"/>
      <c r="N86" s="103"/>
      <c r="O86" s="56"/>
      <c r="S86" s="56"/>
    </row>
    <row r="87" spans="2:19" ht="15.45" x14ac:dyDescent="0.4">
      <c r="B87" s="65" t="s">
        <v>228</v>
      </c>
      <c r="C87" s="128"/>
      <c r="D87" s="127">
        <f>(F56-F38-SUM(F41:F46))/(I23*0.01)</f>
        <v>95.01612903225805</v>
      </c>
      <c r="E87" s="34"/>
      <c r="G87" s="32"/>
      <c r="H87" s="32"/>
      <c r="S87" s="56"/>
    </row>
    <row r="88" spans="2:19" ht="15.45" x14ac:dyDescent="0.4">
      <c r="B88" s="1" t="s">
        <v>109</v>
      </c>
      <c r="C88" s="8"/>
      <c r="D88" s="105">
        <f>D87/D83</f>
        <v>0.94860466367473883</v>
      </c>
      <c r="E88" s="13"/>
      <c r="F88" s="16"/>
      <c r="G88" s="13"/>
      <c r="H88" s="13"/>
      <c r="S88" s="56"/>
    </row>
    <row r="89" spans="2:19" ht="15.45" x14ac:dyDescent="0.4">
      <c r="B89" s="1"/>
      <c r="C89" s="8"/>
      <c r="D89" s="6" t="s">
        <v>4</v>
      </c>
      <c r="E89" s="13"/>
      <c r="F89" s="16"/>
      <c r="G89" s="13"/>
      <c r="H89" s="13"/>
      <c r="S89" s="56"/>
    </row>
    <row r="90" spans="2:19" ht="15" x14ac:dyDescent="0.35">
      <c r="B90" s="8" t="s">
        <v>111</v>
      </c>
      <c r="D90" s="35">
        <f>F34</f>
        <v>118.58479485544218</v>
      </c>
      <c r="E90" s="13"/>
      <c r="F90" s="16"/>
      <c r="G90" s="13"/>
      <c r="H90" s="13"/>
      <c r="S90" s="56"/>
    </row>
    <row r="91" spans="2:19" ht="15" x14ac:dyDescent="0.35">
      <c r="B91" s="8" t="s">
        <v>148</v>
      </c>
      <c r="D91" s="89">
        <f>F16</f>
        <v>173.31530612244899</v>
      </c>
      <c r="E91" s="13"/>
      <c r="F91" s="16"/>
      <c r="G91" s="13"/>
      <c r="H91" s="13"/>
      <c r="S91" s="56"/>
    </row>
    <row r="92" spans="2:19" ht="15.45" x14ac:dyDescent="0.4">
      <c r="B92" s="65" t="s">
        <v>158</v>
      </c>
      <c r="C92" s="121"/>
      <c r="D92" s="129">
        <f>D90-D91</f>
        <v>-54.730511267006804</v>
      </c>
      <c r="E92" s="13"/>
      <c r="F92" s="16"/>
      <c r="G92" s="13"/>
      <c r="H92" s="13"/>
      <c r="L92" s="80"/>
      <c r="M92" s="56"/>
      <c r="N92" s="56"/>
      <c r="O92" s="56"/>
      <c r="P92" s="56"/>
      <c r="S92" s="56"/>
    </row>
    <row r="93" spans="2:19" ht="15.45" x14ac:dyDescent="0.4">
      <c r="B93" s="195"/>
      <c r="C93" s="196"/>
      <c r="D93" s="200"/>
      <c r="E93" s="201"/>
      <c r="F93" s="16"/>
      <c r="G93" s="13"/>
      <c r="H93" s="13"/>
      <c r="L93" s="80"/>
      <c r="M93" s="56"/>
      <c r="N93" s="56"/>
      <c r="O93" s="56"/>
      <c r="P93" s="56"/>
      <c r="S93" s="56"/>
    </row>
    <row r="94" spans="2:19" ht="15.45" x14ac:dyDescent="0.4">
      <c r="B94" s="1" t="s">
        <v>149</v>
      </c>
      <c r="D94" s="6" t="s">
        <v>6</v>
      </c>
      <c r="G94" s="32"/>
      <c r="H94" s="32"/>
      <c r="L94" s="56"/>
      <c r="M94" s="56"/>
      <c r="N94" s="56"/>
      <c r="O94" s="56"/>
      <c r="P94" s="56"/>
      <c r="S94" s="56"/>
    </row>
    <row r="95" spans="2:19" ht="15.45" x14ac:dyDescent="0.4">
      <c r="B95" s="1" t="s">
        <v>35</v>
      </c>
      <c r="D95" s="130">
        <f>J96</f>
        <v>-228.04379694586169</v>
      </c>
    </row>
    <row r="96" spans="2:19" ht="15.45" x14ac:dyDescent="0.4">
      <c r="B96" s="1" t="s">
        <v>47</v>
      </c>
      <c r="C96" s="6"/>
      <c r="D96" s="52">
        <f>J97</f>
        <v>190.34721677974713</v>
      </c>
      <c r="G96" s="17"/>
      <c r="H96" s="17"/>
      <c r="I96" t="s">
        <v>13</v>
      </c>
      <c r="J96" s="19">
        <f>((F9*F10*0.01)*(F34-F16)/F21)</f>
        <v>-228.04379694586169</v>
      </c>
    </row>
    <row r="97" spans="2:13" ht="15.45" x14ac:dyDescent="0.4">
      <c r="B97" s="65" t="s">
        <v>151</v>
      </c>
      <c r="C97" s="66"/>
      <c r="D97" s="262">
        <f>F64/F21</f>
        <v>-37.696580166114664</v>
      </c>
      <c r="G97" s="17"/>
      <c r="H97" s="17"/>
      <c r="I97" t="s">
        <v>14</v>
      </c>
      <c r="J97" s="20">
        <f>((F34-J104)*J103*0.01)/F21</f>
        <v>190.34721677974713</v>
      </c>
    </row>
    <row r="98" spans="2:13" ht="15.45" x14ac:dyDescent="0.4">
      <c r="D98" s="18"/>
      <c r="G98" s="52"/>
      <c r="H98" s="52"/>
      <c r="I98" s="128" t="s">
        <v>15</v>
      </c>
      <c r="J98" s="138">
        <f>(J96+J97)</f>
        <v>-37.696580166114558</v>
      </c>
    </row>
    <row r="99" spans="2:13" x14ac:dyDescent="0.3">
      <c r="B99" t="s">
        <v>115</v>
      </c>
    </row>
    <row r="100" spans="2:13" x14ac:dyDescent="0.3">
      <c r="B100" s="22"/>
      <c r="J100" s="36" t="s">
        <v>16</v>
      </c>
      <c r="K100" s="36" t="s">
        <v>95</v>
      </c>
    </row>
    <row r="101" spans="2:13" ht="15.45" x14ac:dyDescent="0.4">
      <c r="B101" s="361" t="s">
        <v>38</v>
      </c>
      <c r="C101" s="361"/>
      <c r="D101" s="361"/>
      <c r="E101" s="361"/>
      <c r="F101" s="361"/>
      <c r="I101" t="s">
        <v>74</v>
      </c>
      <c r="J101" s="4">
        <f>F9*F10</f>
        <v>40000</v>
      </c>
      <c r="K101" s="68">
        <f>J101/$F$21</f>
        <v>416.66666666666669</v>
      </c>
    </row>
    <row r="102" spans="2:13" ht="15" x14ac:dyDescent="0.35">
      <c r="B102" s="13"/>
      <c r="C102" s="13" t="s">
        <v>17</v>
      </c>
      <c r="D102" s="25">
        <f>'1. CattleFinisih&amp;ROI Projection'!F8</f>
        <v>44137</v>
      </c>
      <c r="E102" s="25">
        <f>'1. CattleFinisih&amp;ROI Projection'!F19</f>
        <v>44457.121951219509</v>
      </c>
      <c r="F102" s="13"/>
      <c r="I102" s="21" t="s">
        <v>163</v>
      </c>
      <c r="J102" s="4">
        <f>F21*F25</f>
        <v>139200</v>
      </c>
      <c r="K102" s="68">
        <f>J102/$F$21</f>
        <v>1450</v>
      </c>
    </row>
    <row r="103" spans="2:13" ht="15" x14ac:dyDescent="0.35">
      <c r="B103" s="359" t="s">
        <v>288</v>
      </c>
      <c r="C103" s="13"/>
      <c r="D103" s="13"/>
      <c r="E103" s="13"/>
      <c r="F103" s="311">
        <v>0</v>
      </c>
      <c r="I103" s="21" t="s">
        <v>175</v>
      </c>
      <c r="J103" s="4">
        <f>J102-J101</f>
        <v>99200</v>
      </c>
      <c r="K103" s="68">
        <f>J103/$F$21</f>
        <v>1033.3333333333333</v>
      </c>
    </row>
    <row r="104" spans="2:13" ht="15.45" x14ac:dyDescent="0.4">
      <c r="B104" s="13" t="s">
        <v>18</v>
      </c>
      <c r="C104" s="16" t="s">
        <v>8</v>
      </c>
      <c r="D104" s="51">
        <f>'1. CattleFinisih&amp;ROI Projection'!F10</f>
        <v>400</v>
      </c>
      <c r="E104" s="51">
        <f>F25</f>
        <v>1450</v>
      </c>
      <c r="F104" s="310" t="s">
        <v>212</v>
      </c>
      <c r="I104" s="128" t="s">
        <v>219</v>
      </c>
      <c r="J104" s="139">
        <f>((F56+F60-F38)/J103)*100</f>
        <v>100.16409645740214</v>
      </c>
    </row>
    <row r="105" spans="2:13" ht="15" x14ac:dyDescent="0.35">
      <c r="B105" s="13" t="s">
        <v>19</v>
      </c>
      <c r="C105" s="13"/>
      <c r="D105" s="291"/>
      <c r="E105" s="294"/>
      <c r="F105" s="31">
        <v>0</v>
      </c>
    </row>
    <row r="106" spans="2:13" ht="15" x14ac:dyDescent="0.35">
      <c r="B106" s="13" t="s">
        <v>20</v>
      </c>
      <c r="C106" s="13"/>
      <c r="D106" s="309" t="s">
        <v>229</v>
      </c>
      <c r="E106" s="309" t="s">
        <v>226</v>
      </c>
      <c r="F106" s="13"/>
      <c r="M106" s="236"/>
    </row>
    <row r="107" spans="2:13" ht="15" x14ac:dyDescent="0.35">
      <c r="B107" s="13" t="s">
        <v>46</v>
      </c>
      <c r="C107" s="16" t="s">
        <v>4</v>
      </c>
      <c r="D107" s="308">
        <v>170</v>
      </c>
      <c r="E107" s="31">
        <v>119</v>
      </c>
      <c r="F107" s="13"/>
    </row>
    <row r="108" spans="2:13" ht="15" x14ac:dyDescent="0.35">
      <c r="B108" s="13" t="s">
        <v>45</v>
      </c>
      <c r="C108" s="16" t="s">
        <v>8</v>
      </c>
      <c r="D108" s="334">
        <f>F10</f>
        <v>400</v>
      </c>
      <c r="E108" s="334">
        <f>F25</f>
        <v>1450</v>
      </c>
      <c r="F108" s="13"/>
      <c r="I108" s="3" t="s">
        <v>24</v>
      </c>
      <c r="J108" s="3"/>
    </row>
    <row r="109" spans="2:13" ht="15" x14ac:dyDescent="0.35">
      <c r="B109" s="13" t="s">
        <v>21</v>
      </c>
      <c r="C109" s="16" t="s">
        <v>8</v>
      </c>
      <c r="D109" s="39">
        <v>0</v>
      </c>
      <c r="E109" s="39">
        <v>0</v>
      </c>
      <c r="F109" s="13"/>
      <c r="I109" s="3">
        <f>IF((D104&gt;(D108+D109)),(-D111*0.01*(D104-D108)),0)</f>
        <v>0</v>
      </c>
      <c r="J109" s="3"/>
      <c r="K109" t="s">
        <v>26</v>
      </c>
    </row>
    <row r="110" spans="2:13" ht="15" x14ac:dyDescent="0.35">
      <c r="B110" s="13" t="s">
        <v>22</v>
      </c>
      <c r="C110" s="16" t="s">
        <v>8</v>
      </c>
      <c r="D110" s="39">
        <v>0</v>
      </c>
      <c r="E110" s="39">
        <v>0</v>
      </c>
      <c r="F110" s="13"/>
      <c r="I110" s="3">
        <f>IF((D104&lt;D108-D110),(D111*0.01*(D108-D104)),0)</f>
        <v>0</v>
      </c>
      <c r="J110" s="3"/>
      <c r="K110" t="s">
        <v>27</v>
      </c>
    </row>
    <row r="111" spans="2:13" ht="15" x14ac:dyDescent="0.35">
      <c r="B111" s="13" t="s">
        <v>23</v>
      </c>
      <c r="C111" s="16" t="s">
        <v>4</v>
      </c>
      <c r="D111" s="31">
        <v>0</v>
      </c>
      <c r="E111" s="31">
        <v>0</v>
      </c>
      <c r="F111" s="13"/>
      <c r="I111" s="3">
        <f>(I109+I110)</f>
        <v>0</v>
      </c>
      <c r="J111" s="3"/>
      <c r="K111" t="s">
        <v>28</v>
      </c>
    </row>
    <row r="112" spans="2:13" ht="15.45" x14ac:dyDescent="0.4">
      <c r="B112" s="1" t="s">
        <v>25</v>
      </c>
      <c r="C112" s="6" t="s">
        <v>4</v>
      </c>
      <c r="D112" s="38">
        <f>I111</f>
        <v>0</v>
      </c>
      <c r="E112" s="38">
        <f>J121</f>
        <v>0</v>
      </c>
      <c r="F112" s="13"/>
    </row>
    <row r="113" spans="2:12" ht="15" x14ac:dyDescent="0.35">
      <c r="B113" s="13"/>
      <c r="C113" s="13"/>
      <c r="D113" s="5"/>
      <c r="E113" s="5"/>
      <c r="F113" s="13"/>
    </row>
    <row r="114" spans="2:12" ht="15" x14ac:dyDescent="0.35">
      <c r="B114" s="8" t="s">
        <v>179</v>
      </c>
      <c r="C114" s="16" t="s">
        <v>4</v>
      </c>
      <c r="D114" s="250">
        <v>0</v>
      </c>
      <c r="E114" s="250">
        <v>0</v>
      </c>
      <c r="F114" s="13"/>
    </row>
    <row r="115" spans="2:12" ht="15" x14ac:dyDescent="0.35">
      <c r="B115" s="13"/>
      <c r="C115" s="16"/>
      <c r="D115" s="85"/>
      <c r="E115" s="85"/>
      <c r="F115" s="13"/>
      <c r="J115" s="3"/>
      <c r="K115" s="3"/>
    </row>
    <row r="116" spans="2:12" ht="15" x14ac:dyDescent="0.35">
      <c r="B116" s="13" t="s">
        <v>43</v>
      </c>
      <c r="C116" s="13"/>
      <c r="D116" s="5"/>
      <c r="E116" s="5"/>
      <c r="F116" s="13"/>
    </row>
    <row r="117" spans="2:12" ht="15" x14ac:dyDescent="0.35">
      <c r="B117" s="13" t="s">
        <v>107</v>
      </c>
      <c r="C117" s="16" t="s">
        <v>4</v>
      </c>
      <c r="D117" s="348">
        <v>0</v>
      </c>
      <c r="E117" s="348">
        <v>0</v>
      </c>
      <c r="F117" s="13"/>
    </row>
    <row r="118" spans="2:12" ht="15" x14ac:dyDescent="0.35">
      <c r="B118" s="13" t="s">
        <v>29</v>
      </c>
      <c r="C118" s="16" t="s">
        <v>4</v>
      </c>
      <c r="D118" s="348">
        <v>0</v>
      </c>
      <c r="E118" s="348">
        <v>0</v>
      </c>
      <c r="F118" s="13"/>
      <c r="J118" s="3" t="s">
        <v>24</v>
      </c>
      <c r="K118" s="3"/>
    </row>
    <row r="119" spans="2:12" ht="15" x14ac:dyDescent="0.35">
      <c r="B119" s="13" t="s">
        <v>30</v>
      </c>
      <c r="C119" s="16" t="s">
        <v>4</v>
      </c>
      <c r="D119" s="348">
        <v>0</v>
      </c>
      <c r="E119" s="348">
        <v>0</v>
      </c>
      <c r="F119" s="13"/>
      <c r="J119" s="3">
        <f>IF((E104&gt;(E108+E109)),(-E111*0.01*(E104-E108)),0)</f>
        <v>0</v>
      </c>
      <c r="K119" s="3"/>
      <c r="L119" t="s">
        <v>26</v>
      </c>
    </row>
    <row r="120" spans="2:12" ht="15" x14ac:dyDescent="0.35">
      <c r="B120" s="13" t="s">
        <v>31</v>
      </c>
      <c r="C120" s="16" t="s">
        <v>4</v>
      </c>
      <c r="D120" s="348">
        <v>0</v>
      </c>
      <c r="E120" s="348">
        <v>0</v>
      </c>
      <c r="F120" s="13"/>
      <c r="J120" s="3">
        <f>IF((E104&lt;E108-E110),(E111*0.01*(E108-E104)),0)</f>
        <v>0</v>
      </c>
      <c r="K120" s="3"/>
      <c r="L120" t="s">
        <v>27</v>
      </c>
    </row>
    <row r="121" spans="2:12" ht="15" x14ac:dyDescent="0.35">
      <c r="B121" s="23" t="s">
        <v>264</v>
      </c>
      <c r="C121" s="16" t="s">
        <v>4</v>
      </c>
      <c r="D121" s="348">
        <v>0</v>
      </c>
      <c r="E121" s="348">
        <v>0</v>
      </c>
      <c r="F121" s="13"/>
      <c r="J121" s="3">
        <f>(J119+J120)</f>
        <v>0</v>
      </c>
      <c r="K121" s="3"/>
      <c r="L121" t="s">
        <v>28</v>
      </c>
    </row>
    <row r="122" spans="2:12" ht="15" x14ac:dyDescent="0.35">
      <c r="B122" s="23" t="s">
        <v>213</v>
      </c>
      <c r="C122" s="16" t="s">
        <v>4</v>
      </c>
      <c r="D122" s="348">
        <v>0</v>
      </c>
      <c r="E122" s="348">
        <v>0</v>
      </c>
      <c r="F122" s="13"/>
    </row>
    <row r="123" spans="2:12" ht="15" x14ac:dyDescent="0.35">
      <c r="B123" s="13" t="s">
        <v>44</v>
      </c>
      <c r="C123" s="16" t="s">
        <v>4</v>
      </c>
      <c r="D123" s="26">
        <f>SUM(D117:D122)</f>
        <v>0</v>
      </c>
      <c r="E123" s="26">
        <f>SUM(E117:E122)</f>
        <v>0</v>
      </c>
      <c r="F123" s="13"/>
      <c r="H123" s="19">
        <f>D97</f>
        <v>-37.696580166114664</v>
      </c>
      <c r="I123" s="21" t="s">
        <v>56</v>
      </c>
    </row>
    <row r="124" spans="2:12" ht="15" x14ac:dyDescent="0.35">
      <c r="B124" s="13"/>
      <c r="C124" s="13"/>
      <c r="D124" s="5"/>
      <c r="E124" s="5"/>
      <c r="F124" s="13"/>
    </row>
    <row r="125" spans="2:12" ht="15.45" x14ac:dyDescent="0.4">
      <c r="B125" s="65" t="s">
        <v>184</v>
      </c>
      <c r="C125" s="66" t="s">
        <v>4</v>
      </c>
      <c r="D125" s="204">
        <f>(D107+D114+D112+D123)</f>
        <v>170</v>
      </c>
      <c r="E125" s="204">
        <f>(E107+E114+E112+E123)</f>
        <v>119</v>
      </c>
      <c r="F125" s="13"/>
    </row>
    <row r="126" spans="2:12" ht="15.45" x14ac:dyDescent="0.4">
      <c r="B126" s="1" t="s">
        <v>116</v>
      </c>
      <c r="C126" s="13"/>
      <c r="D126" s="16"/>
      <c r="E126" s="16"/>
      <c r="F126" s="16"/>
    </row>
    <row r="127" spans="2:12" ht="15" x14ac:dyDescent="0.35">
      <c r="B127" s="21" t="s">
        <v>145</v>
      </c>
      <c r="C127" s="13"/>
      <c r="D127" s="16"/>
      <c r="E127" s="16"/>
      <c r="F127" s="16"/>
    </row>
    <row r="128" spans="2:12" ht="15" x14ac:dyDescent="0.35">
      <c r="B128" s="21" t="s">
        <v>230</v>
      </c>
      <c r="C128" s="13"/>
      <c r="D128" s="13"/>
      <c r="E128" s="27"/>
      <c r="F128" s="13"/>
    </row>
    <row r="129" spans="2:6" ht="15" x14ac:dyDescent="0.35">
      <c r="B129" s="21" t="s">
        <v>146</v>
      </c>
      <c r="C129" s="13"/>
      <c r="D129" s="13"/>
      <c r="E129" s="28"/>
      <c r="F129" s="13"/>
    </row>
    <row r="130" spans="2:6" ht="15" x14ac:dyDescent="0.35">
      <c r="B130" s="21" t="s">
        <v>147</v>
      </c>
      <c r="C130" s="13"/>
      <c r="D130" s="13"/>
      <c r="E130" s="13"/>
      <c r="F130" s="13"/>
    </row>
    <row r="132" spans="2:6" ht="15" x14ac:dyDescent="0.35">
      <c r="B132" s="13"/>
      <c r="D132" s="53"/>
      <c r="E132" s="8"/>
      <c r="F132" s="53"/>
    </row>
  </sheetData>
  <sheetProtection sheet="1" objects="1" scenarios="1"/>
  <mergeCells count="4">
    <mergeCell ref="B101:F101"/>
    <mergeCell ref="B1:G1"/>
    <mergeCell ref="C7:F7"/>
    <mergeCell ref="B3:D3"/>
  </mergeCells>
  <phoneticPr fontId="0" type="noConversion"/>
  <printOptions horizontalCentered="1"/>
  <pageMargins left="0.75" right="0.5" top="0.52" bottom="0.75" header="0.5" footer="0.5"/>
  <pageSetup scale="60" orientation="portrait" horizontalDpi="4294967292" r:id="rId1"/>
  <headerFooter alignWithMargins="0">
    <oddFooter>&amp;L&amp;F&amp;R&amp;A 
Page &amp;P of &amp;N</oddFooter>
  </headerFooter>
  <rowBreaks count="1" manualBreakCount="1">
    <brk id="73" min="1" max="6" man="1"/>
  </rowBreaks>
  <colBreaks count="1" manualBreakCount="1">
    <brk id="8" max="14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3"/>
  <sheetViews>
    <sheetView zoomScaleNormal="100" workbookViewId="0">
      <selection activeCell="E21" sqref="E21"/>
    </sheetView>
  </sheetViews>
  <sheetFormatPr defaultRowHeight="12.45" x14ac:dyDescent="0.3"/>
  <cols>
    <col min="1" max="1" width="4.69140625" customWidth="1"/>
    <col min="2" max="2" width="63" customWidth="1"/>
    <col min="3" max="3" width="15.84375" customWidth="1"/>
  </cols>
  <sheetData>
    <row r="1" spans="2:6" ht="15.45" x14ac:dyDescent="0.4">
      <c r="B1" s="370" t="s">
        <v>170</v>
      </c>
      <c r="C1" s="370"/>
    </row>
    <row r="2" spans="2:6" ht="15.45" x14ac:dyDescent="0.4">
      <c r="B2" s="8" t="s">
        <v>0</v>
      </c>
      <c r="C2" s="286">
        <f>'1. CattleFinisih&amp;ROI Projection'!E4</f>
        <v>44147</v>
      </c>
      <c r="D2" s="6"/>
    </row>
    <row r="3" spans="2:6" ht="15" x14ac:dyDescent="0.35">
      <c r="B3" s="13" t="s">
        <v>60</v>
      </c>
      <c r="C3" s="54" t="str">
        <f>'1. CattleFinisih&amp;ROI Projection'!C5</f>
        <v>TX</v>
      </c>
    </row>
    <row r="4" spans="2:6" ht="15" x14ac:dyDescent="0.35">
      <c r="B4" s="13" t="s">
        <v>61</v>
      </c>
      <c r="C4" s="54" t="str">
        <f>'1. CattleFinisih&amp;ROI Projection'!C6</f>
        <v>TX</v>
      </c>
    </row>
    <row r="5" spans="2:6" ht="15" x14ac:dyDescent="0.35">
      <c r="B5" s="8" t="s">
        <v>176</v>
      </c>
      <c r="C5" s="54">
        <f>'1. CattleFinisih&amp;ROI Projection'!D4</f>
        <v>21</v>
      </c>
    </row>
    <row r="6" spans="2:6" ht="15" x14ac:dyDescent="0.35">
      <c r="B6" s="8" t="s">
        <v>251</v>
      </c>
      <c r="C6" s="54">
        <f>'1. CattleFinisih&amp;ROI Projection'!F9</f>
        <v>100</v>
      </c>
    </row>
    <row r="7" spans="2:6" ht="15" x14ac:dyDescent="0.35">
      <c r="B7" s="8" t="s">
        <v>169</v>
      </c>
      <c r="C7" s="54" t="str">
        <f>'1. CattleFinisih&amp;ROI Projection'!E6</f>
        <v>Angus-Holstein</v>
      </c>
      <c r="F7" s="8" t="str">
        <f>'1. CattleFinisih&amp;ROI Projection'!C7</f>
        <v>Angus-Holstein feeder cross retained from day-old calf.</v>
      </c>
    </row>
    <row r="8" spans="2:6" ht="15" x14ac:dyDescent="0.35">
      <c r="B8" s="13" t="s">
        <v>62</v>
      </c>
      <c r="C8" s="54" t="str">
        <f>'1. CattleFinisih&amp;ROI Projection'!E5</f>
        <v>Steers</v>
      </c>
    </row>
    <row r="9" spans="2:6" ht="15" x14ac:dyDescent="0.35">
      <c r="B9" s="8" t="s">
        <v>203</v>
      </c>
      <c r="C9" s="277">
        <f>'1. CattleFinisih&amp;ROI Projection'!F8</f>
        <v>44137</v>
      </c>
    </row>
    <row r="10" spans="2:6" ht="15" x14ac:dyDescent="0.35">
      <c r="B10" s="8" t="s">
        <v>172</v>
      </c>
      <c r="C10" s="277">
        <f>'1. CattleFinisih&amp;ROI Projection'!F19</f>
        <v>44457.121951219509</v>
      </c>
    </row>
    <row r="11" spans="2:6" ht="15.45" x14ac:dyDescent="0.4">
      <c r="B11" s="1" t="s">
        <v>166</v>
      </c>
      <c r="C11" s="54"/>
    </row>
    <row r="12" spans="2:6" ht="15" x14ac:dyDescent="0.35">
      <c r="B12" s="8" t="s">
        <v>167</v>
      </c>
      <c r="C12" s="251">
        <f>'1. CattleFinisih&amp;ROI Projection'!F10</f>
        <v>400</v>
      </c>
    </row>
    <row r="13" spans="2:6" ht="15" x14ac:dyDescent="0.35">
      <c r="B13" s="8" t="s">
        <v>241</v>
      </c>
      <c r="C13" s="131">
        <f>'1. CattleFinisih&amp;ROI Projection'!$F$25</f>
        <v>1450</v>
      </c>
    </row>
    <row r="14" spans="2:6" ht="15" x14ac:dyDescent="0.35">
      <c r="B14" s="8" t="s">
        <v>242</v>
      </c>
      <c r="C14" s="106">
        <f>'1. CattleFinisih&amp;ROI Projection'!E21*0.01</f>
        <v>0.04</v>
      </c>
    </row>
    <row r="15" spans="2:6" ht="15" x14ac:dyDescent="0.35">
      <c r="B15" s="8" t="s">
        <v>79</v>
      </c>
      <c r="C15" s="106">
        <f>'1. CattleFinisih&amp;ROI Projection'!F22*0.01</f>
        <v>0.04</v>
      </c>
    </row>
    <row r="16" spans="2:6" ht="15" x14ac:dyDescent="0.35">
      <c r="B16" s="8" t="s">
        <v>168</v>
      </c>
      <c r="C16" s="131">
        <f>'1. CattleFinisih&amp;ROI Projection'!J28</f>
        <v>1033.3333333333333</v>
      </c>
    </row>
    <row r="17" spans="2:6" ht="15" x14ac:dyDescent="0.35">
      <c r="B17" s="13" t="s">
        <v>71</v>
      </c>
      <c r="C17" s="131">
        <f>'1. CattleFinisih&amp;ROI Projection'!F20</f>
        <v>320.1219512195122</v>
      </c>
    </row>
    <row r="18" spans="2:6" ht="15" x14ac:dyDescent="0.35">
      <c r="B18" s="8" t="s">
        <v>246</v>
      </c>
      <c r="C18" s="107">
        <f>'1. CattleFinisih&amp;ROI Projection'!J23</f>
        <v>3.0988190476190476</v>
      </c>
      <c r="F18" s="347" t="s">
        <v>275</v>
      </c>
    </row>
    <row r="19" spans="2:6" ht="15.45" x14ac:dyDescent="0.4">
      <c r="B19" s="1" t="s">
        <v>243</v>
      </c>
      <c r="C19" s="230"/>
    </row>
    <row r="20" spans="2:6" ht="15" x14ac:dyDescent="0.35">
      <c r="B20" s="8" t="s">
        <v>187</v>
      </c>
      <c r="C20" s="276">
        <f>'1. CattleFinisih&amp;ROI Projection'!E71*0.01</f>
        <v>0.63</v>
      </c>
    </row>
    <row r="21" spans="2:6" ht="15" x14ac:dyDescent="0.35">
      <c r="B21" s="8" t="s">
        <v>188</v>
      </c>
      <c r="C21" s="69">
        <f>C13*C20</f>
        <v>913.5</v>
      </c>
    </row>
    <row r="22" spans="2:6" ht="15.45" x14ac:dyDescent="0.4">
      <c r="B22" s="1" t="s">
        <v>164</v>
      </c>
      <c r="C22" s="57"/>
    </row>
    <row r="23" spans="2:6" ht="15" x14ac:dyDescent="0.35">
      <c r="B23" s="13" t="s">
        <v>63</v>
      </c>
      <c r="C23" s="50">
        <f>'1. CattleFinisih&amp;ROI Projection'!F16</f>
        <v>173.31530612244899</v>
      </c>
      <c r="F23" s="21" t="s">
        <v>206</v>
      </c>
    </row>
    <row r="24" spans="2:6" ht="15" x14ac:dyDescent="0.35">
      <c r="B24" s="55" t="s">
        <v>64</v>
      </c>
      <c r="C24" s="50">
        <f>'1. CattleFinisih&amp;ROI Projection'!F34</f>
        <v>118.58479485544218</v>
      </c>
      <c r="F24" s="21" t="s">
        <v>205</v>
      </c>
    </row>
    <row r="25" spans="2:6" ht="15.45" x14ac:dyDescent="0.4">
      <c r="B25" s="121" t="s">
        <v>165</v>
      </c>
      <c r="C25" s="289">
        <f>'1. CattleFinisih&amp;ROI Projection'!D92</f>
        <v>-54.730511267006804</v>
      </c>
    </row>
    <row r="26" spans="2:6" ht="15" x14ac:dyDescent="0.35">
      <c r="B26" s="8" t="s">
        <v>227</v>
      </c>
      <c r="C26" s="50">
        <f>'1. CattleFinisih&amp;ROI Projection'!E40</f>
        <v>0.93</v>
      </c>
    </row>
    <row r="27" spans="2:6" ht="15" x14ac:dyDescent="0.35">
      <c r="B27" s="8"/>
      <c r="C27" s="253"/>
    </row>
    <row r="28" spans="2:6" ht="15.45" x14ac:dyDescent="0.4">
      <c r="B28" s="1" t="s">
        <v>239</v>
      </c>
      <c r="C28" s="242">
        <f>'1. CattleFinisih&amp;ROI Projection'!D87</f>
        <v>95.01612903225805</v>
      </c>
    </row>
    <row r="29" spans="2:6" ht="15" x14ac:dyDescent="0.35">
      <c r="B29" s="8" t="s">
        <v>238</v>
      </c>
      <c r="C29" s="329">
        <f>C28/C30</f>
        <v>0.94860466367473883</v>
      </c>
    </row>
    <row r="30" spans="2:6" ht="15.45" x14ac:dyDescent="0.4">
      <c r="B30" s="65" t="s">
        <v>65</v>
      </c>
      <c r="C30" s="272">
        <f>'1. CattleFinisih&amp;ROI Projection'!D83</f>
        <v>100.16409645740214</v>
      </c>
      <c r="F30" s="56" t="s">
        <v>263</v>
      </c>
    </row>
    <row r="31" spans="2:6" ht="15" x14ac:dyDescent="0.35">
      <c r="C31" s="50"/>
    </row>
    <row r="32" spans="2:6" ht="15.45" x14ac:dyDescent="0.4">
      <c r="B32" s="65" t="s">
        <v>162</v>
      </c>
      <c r="C32" s="272">
        <f>'1. CattleFinisih&amp;ROI Projection'!D85</f>
        <v>96.516040312294294</v>
      </c>
      <c r="F32" s="56" t="s">
        <v>262</v>
      </c>
    </row>
    <row r="33" spans="1:6" ht="15" x14ac:dyDescent="0.35">
      <c r="A33" s="50"/>
      <c r="B33" s="50"/>
      <c r="C33" s="50"/>
    </row>
    <row r="34" spans="1:6" ht="15.45" x14ac:dyDescent="0.4">
      <c r="B34" s="65" t="s">
        <v>254</v>
      </c>
      <c r="C34" s="272">
        <f>'1. CattleFinisih&amp;ROI Projection'!D62</f>
        <v>121.18455900482941</v>
      </c>
      <c r="E34" s="20"/>
      <c r="F34" s="21" t="s">
        <v>194</v>
      </c>
    </row>
    <row r="35" spans="1:6" x14ac:dyDescent="0.3">
      <c r="E35" s="20"/>
      <c r="F35" s="21"/>
    </row>
    <row r="36" spans="1:6" ht="15.45" x14ac:dyDescent="0.4">
      <c r="B36" s="1" t="s">
        <v>204</v>
      </c>
      <c r="C36" s="242">
        <f>'1. CattleFinisih&amp;ROI Projection'!F34</f>
        <v>118.58479485544218</v>
      </c>
      <c r="E36" s="20"/>
      <c r="F36" s="21" t="s">
        <v>205</v>
      </c>
    </row>
    <row r="37" spans="1:6" ht="15.45" x14ac:dyDescent="0.4">
      <c r="B37" s="65" t="s">
        <v>69</v>
      </c>
      <c r="C37" s="341">
        <f>'1. CattleFinisih&amp;ROI Projection'!F66</f>
        <v>1.4567995056750273E-2</v>
      </c>
      <c r="E37" s="20"/>
      <c r="F37" s="21"/>
    </row>
    <row r="38" spans="1:6" x14ac:dyDescent="0.3">
      <c r="B38" s="20"/>
      <c r="C38" s="20"/>
      <c r="E38" s="20"/>
      <c r="F38" s="21"/>
    </row>
    <row r="39" spans="1:6" ht="15.45" x14ac:dyDescent="0.4">
      <c r="A39" s="20"/>
      <c r="B39" s="65" t="s">
        <v>189</v>
      </c>
      <c r="C39" s="272">
        <f>'1. CattleFinisih&amp;ROI Projection'!F69</f>
        <v>121.59976414938723</v>
      </c>
      <c r="D39" s="20"/>
      <c r="E39" s="20"/>
      <c r="F39" s="21"/>
    </row>
    <row r="40" spans="1:6" ht="15.45" x14ac:dyDescent="0.4">
      <c r="B40" s="65" t="s">
        <v>195</v>
      </c>
      <c r="C40" s="272">
        <f>'1. CattleFinisih&amp;ROI Projection'!F71</f>
        <v>193.01549864982098</v>
      </c>
      <c r="D40" s="36" t="s">
        <v>209</v>
      </c>
    </row>
    <row r="42" spans="1:6" ht="15" x14ac:dyDescent="0.35">
      <c r="B42" s="47" t="s">
        <v>66</v>
      </c>
      <c r="C42" s="58">
        <f>'1. CattleFinisih&amp;ROI Projection'!D95</f>
        <v>-228.04379694586169</v>
      </c>
    </row>
    <row r="43" spans="1:6" ht="15" x14ac:dyDescent="0.35">
      <c r="B43" s="47" t="s">
        <v>67</v>
      </c>
      <c r="C43" s="58">
        <f>'1. CattleFinisih&amp;ROI Projection'!D96</f>
        <v>190.34721677974713</v>
      </c>
    </row>
    <row r="44" spans="1:6" ht="15.45" x14ac:dyDescent="0.4">
      <c r="B44" s="288" t="s">
        <v>68</v>
      </c>
      <c r="C44" s="289">
        <f>'1. CattleFinisih&amp;ROI Projection'!D97</f>
        <v>-37.696580166114664</v>
      </c>
    </row>
    <row r="46" spans="1:6" ht="15.45" x14ac:dyDescent="0.4">
      <c r="B46" s="207" t="s">
        <v>173</v>
      </c>
      <c r="C46" s="274">
        <f>'1. CattleFinisih&amp;ROI Projection'!F73</f>
        <v>163.50282076013244</v>
      </c>
    </row>
    <row r="47" spans="1:6" ht="15.45" x14ac:dyDescent="0.4">
      <c r="B47" s="212" t="s">
        <v>207</v>
      </c>
      <c r="C47" s="287">
        <f>C23-C46</f>
        <v>9.8124853623165507</v>
      </c>
    </row>
    <row r="48" spans="1:6" ht="15" x14ac:dyDescent="0.35">
      <c r="B48" s="212"/>
    </row>
    <row r="49" spans="2:6" ht="15" x14ac:dyDescent="0.35">
      <c r="B49" s="212" t="s">
        <v>198</v>
      </c>
      <c r="C49" s="106">
        <f>'1. CattleFinisih&amp;ROI Projection'!E77*0.01</f>
        <v>0.1</v>
      </c>
      <c r="D49" s="36" t="s">
        <v>209</v>
      </c>
      <c r="F49" s="21" t="s">
        <v>211</v>
      </c>
    </row>
    <row r="50" spans="2:6" ht="15.45" x14ac:dyDescent="0.4">
      <c r="B50" s="65" t="s">
        <v>208</v>
      </c>
      <c r="C50" s="293">
        <f>'1. CattleFinisih&amp;ROI Projection'!F77</f>
        <v>125.26843059029449</v>
      </c>
      <c r="D50" s="36" t="s">
        <v>209</v>
      </c>
      <c r="F50" s="21" t="s">
        <v>210</v>
      </c>
    </row>
    <row r="51" spans="2:6" ht="15.45" x14ac:dyDescent="0.4">
      <c r="B51" s="207" t="s">
        <v>196</v>
      </c>
      <c r="C51" s="290">
        <f>'1. CattleFinisih&amp;ROI Projection'!F79</f>
        <v>198.83877871475315</v>
      </c>
      <c r="D51" s="36" t="s">
        <v>209</v>
      </c>
    </row>
    <row r="52" spans="2:6" x14ac:dyDescent="0.3">
      <c r="B52" s="21" t="s">
        <v>197</v>
      </c>
    </row>
    <row r="53" spans="2:6" ht="15" x14ac:dyDescent="0.35">
      <c r="B53" s="13"/>
    </row>
    <row r="54" spans="2:6" ht="15.45" x14ac:dyDescent="0.4">
      <c r="B54" s="1" t="s">
        <v>261</v>
      </c>
      <c r="C54" s="342">
        <v>200</v>
      </c>
      <c r="E54" s="56" t="s">
        <v>257</v>
      </c>
    </row>
    <row r="55" spans="2:6" ht="15.45" x14ac:dyDescent="0.4">
      <c r="B55" s="1" t="s">
        <v>260</v>
      </c>
      <c r="C55" s="40">
        <f>'1. CattleFinisih&amp;ROI Projection'!E56</f>
        <v>1703.9804421768706</v>
      </c>
    </row>
    <row r="56" spans="2:6" ht="15.45" x14ac:dyDescent="0.4">
      <c r="B56" s="1" t="s">
        <v>256</v>
      </c>
      <c r="C56" s="343">
        <f>C54/C55</f>
        <v>0.11737223916989084</v>
      </c>
    </row>
    <row r="57" spans="2:6" x14ac:dyDescent="0.3">
      <c r="B57" s="22" t="s">
        <v>257</v>
      </c>
    </row>
    <row r="58" spans="2:6" ht="15.45" x14ac:dyDescent="0.4">
      <c r="B58" s="1" t="s">
        <v>258</v>
      </c>
      <c r="C58" s="40">
        <f>'1. CattleFinisih&amp;ROI Projection'!F15</f>
        <v>693.26122448979595</v>
      </c>
    </row>
    <row r="59" spans="2:6" ht="15.45" x14ac:dyDescent="0.4">
      <c r="B59" s="1" t="s">
        <v>259</v>
      </c>
      <c r="C59" s="335">
        <f>'1. CattleFinisih&amp;ROI Projection'!G38</f>
        <v>0.41097025309780982</v>
      </c>
    </row>
    <row r="68" spans="2:3" ht="15" x14ac:dyDescent="0.35">
      <c r="B68" s="8"/>
      <c r="C68" s="230"/>
    </row>
    <row r="69" spans="2:3" ht="15" x14ac:dyDescent="0.35">
      <c r="B69" s="21"/>
      <c r="C69" s="230"/>
    </row>
    <row r="70" spans="2:3" ht="15" x14ac:dyDescent="0.35">
      <c r="B70" s="13"/>
    </row>
    <row r="71" spans="2:3" ht="15" x14ac:dyDescent="0.35">
      <c r="B71" s="13"/>
    </row>
    <row r="72" spans="2:3" ht="15" x14ac:dyDescent="0.35">
      <c r="B72" s="13"/>
    </row>
    <row r="73" spans="2:3" ht="15" x14ac:dyDescent="0.35">
      <c r="B73" s="13"/>
    </row>
    <row r="74" spans="2:3" ht="15" x14ac:dyDescent="0.35">
      <c r="B74" s="13"/>
    </row>
    <row r="75" spans="2:3" ht="15" x14ac:dyDescent="0.35">
      <c r="B75" s="13"/>
    </row>
    <row r="76" spans="2:3" ht="15" x14ac:dyDescent="0.35">
      <c r="B76" s="13"/>
    </row>
    <row r="77" spans="2:3" ht="15" x14ac:dyDescent="0.35">
      <c r="B77" s="13"/>
    </row>
    <row r="79" spans="2:3" ht="15" x14ac:dyDescent="0.35">
      <c r="B79" s="13"/>
    </row>
    <row r="80" spans="2:3" ht="14.15" x14ac:dyDescent="0.35">
      <c r="B80" s="56"/>
    </row>
    <row r="81" spans="2:2" ht="14.15" x14ac:dyDescent="0.35">
      <c r="B81" s="56"/>
    </row>
    <row r="82" spans="2:2" ht="15" x14ac:dyDescent="0.35">
      <c r="B82" s="13"/>
    </row>
    <row r="83" spans="2:2" ht="15" x14ac:dyDescent="0.35">
      <c r="B83" s="13"/>
    </row>
  </sheetData>
  <sheetProtection sheet="1" objects="1" scenarios="1"/>
  <mergeCells count="1">
    <mergeCell ref="B1:C1"/>
  </mergeCells>
  <phoneticPr fontId="15" type="noConversion"/>
  <printOptions gridLines="1"/>
  <pageMargins left="0.95" right="0.45" top="0.75" bottom="0.75" header="0.3" footer="0.3"/>
  <pageSetup scale="78" orientation="portrait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2:L44"/>
  <sheetViews>
    <sheetView topLeftCell="A33" workbookViewId="0">
      <selection activeCell="J38" sqref="J38"/>
    </sheetView>
  </sheetViews>
  <sheetFormatPr defaultRowHeight="12.45" x14ac:dyDescent="0.3"/>
  <cols>
    <col min="1" max="1" width="4.53515625" customWidth="1"/>
    <col min="3" max="3" width="9.921875" customWidth="1"/>
    <col min="6" max="6" width="11.69140625" customWidth="1"/>
    <col min="7" max="7" width="11.15234375" customWidth="1"/>
    <col min="9" max="9" width="20" customWidth="1"/>
    <col min="10" max="10" width="16.69140625" customWidth="1"/>
    <col min="11" max="11" width="13.4609375" customWidth="1"/>
    <col min="12" max="12" width="12.84375" customWidth="1"/>
  </cols>
  <sheetData>
    <row r="32" spans="2:2" ht="15.45" x14ac:dyDescent="0.4">
      <c r="B32" s="1" t="s">
        <v>119</v>
      </c>
    </row>
    <row r="33" spans="2:12" ht="15.45" x14ac:dyDescent="0.4">
      <c r="F33" s="6" t="s">
        <v>6</v>
      </c>
    </row>
    <row r="34" spans="2:12" ht="15.45" x14ac:dyDescent="0.4">
      <c r="B34" s="8" t="s">
        <v>13</v>
      </c>
      <c r="F34" s="132">
        <f>'1. CattleFinisih&amp;ROI Projection'!D95</f>
        <v>-228.04379694586169</v>
      </c>
      <c r="I34" s="1" t="s">
        <v>123</v>
      </c>
      <c r="J34" s="6" t="s">
        <v>11</v>
      </c>
      <c r="K34" s="1" t="s">
        <v>129</v>
      </c>
      <c r="L34" s="6" t="s">
        <v>125</v>
      </c>
    </row>
    <row r="35" spans="2:12" ht="15" x14ac:dyDescent="0.35">
      <c r="B35" s="8" t="s">
        <v>14</v>
      </c>
      <c r="F35" s="132">
        <f>'1. CattleFinisih&amp;ROI Projection'!D96</f>
        <v>190.34721677974713</v>
      </c>
      <c r="I35" s="8" t="s">
        <v>253</v>
      </c>
      <c r="J35" s="133">
        <f>'1. CattleFinisih&amp;ROI Projection'!F38</f>
        <v>69326.1224489796</v>
      </c>
      <c r="K35" s="263">
        <f t="shared" ref="K35" si="0">J35/$J$41</f>
        <v>0.41097025309780982</v>
      </c>
      <c r="L35" s="53">
        <f>J35/'1. CattleFinisih&amp;ROI Projection'!$F$21</f>
        <v>722.14710884353747</v>
      </c>
    </row>
    <row r="36" spans="2:12" ht="15.45" x14ac:dyDescent="0.4">
      <c r="B36" s="1" t="s">
        <v>15</v>
      </c>
      <c r="F36" s="135">
        <f>'1. CattleFinisih&amp;ROI Projection'!D97</f>
        <v>-37.696580166114664</v>
      </c>
      <c r="I36" s="8" t="s">
        <v>219</v>
      </c>
      <c r="J36" s="133">
        <f>'1. CattleFinisih&amp;ROI Projection'!F40</f>
        <v>92256</v>
      </c>
      <c r="K36" s="263">
        <f>J36/$J$41</f>
        <v>0.5469002207312923</v>
      </c>
      <c r="L36" s="53">
        <f>J36/'1. CattleFinisih&amp;ROI Projection'!$F$21</f>
        <v>961</v>
      </c>
    </row>
    <row r="37" spans="2:12" ht="15.45" x14ac:dyDescent="0.4">
      <c r="B37" s="1"/>
      <c r="F37" s="135"/>
      <c r="I37" s="240" t="s">
        <v>266</v>
      </c>
      <c r="J37" s="133">
        <f>'1. CattleFinisih&amp;ROI Projection'!F41</f>
        <v>0</v>
      </c>
      <c r="K37" s="263">
        <f>J37/$J$41</f>
        <v>0</v>
      </c>
      <c r="L37" s="53">
        <f>J37/'1. CattleFinisih&amp;ROI Projection'!$F$21</f>
        <v>0</v>
      </c>
    </row>
    <row r="38" spans="2:12" ht="15.45" x14ac:dyDescent="0.4">
      <c r="B38" s="1" t="s">
        <v>250</v>
      </c>
      <c r="F38" s="335">
        <f>'1. CattleFinisih&amp;ROI Projection'!F66</f>
        <v>1.4567995056750273E-2</v>
      </c>
      <c r="I38" s="8" t="s">
        <v>128</v>
      </c>
      <c r="J38" s="133">
        <f>SUM('1. CattleFinisih&amp;ROI Projection'!F42:F46)</f>
        <v>0</v>
      </c>
      <c r="K38" s="263">
        <f>J38/$J$41</f>
        <v>0</v>
      </c>
      <c r="L38" s="53">
        <f>J38/'1. CattleFinisih&amp;ROI Projection'!$F$21</f>
        <v>0</v>
      </c>
    </row>
    <row r="39" spans="2:12" ht="15" x14ac:dyDescent="0.35">
      <c r="G39" s="10" t="s">
        <v>126</v>
      </c>
      <c r="H39" s="10" t="s">
        <v>1</v>
      </c>
      <c r="I39" s="56" t="s">
        <v>249</v>
      </c>
      <c r="J39" s="133">
        <f>'1. CattleFinisih&amp;ROI Projection'!F54</f>
        <v>2000</v>
      </c>
      <c r="K39" s="263">
        <f>J39/$J$41</f>
        <v>1.1856144223276369E-2</v>
      </c>
      <c r="L39" s="53">
        <f>J39/'1. CattleFinisih&amp;ROI Projection'!$F$21</f>
        <v>20.833333333333332</v>
      </c>
    </row>
    <row r="40" spans="2:12" ht="15" x14ac:dyDescent="0.35">
      <c r="B40" s="8" t="s">
        <v>120</v>
      </c>
      <c r="G40" s="134">
        <f>'1. CattleFinisih&amp;ROI Projection'!K101</f>
        <v>416.66666666666669</v>
      </c>
      <c r="H40" s="8">
        <f>'1. CattleFinisih&amp;ROI Projection'!F9</f>
        <v>100</v>
      </c>
      <c r="I40" s="8" t="s">
        <v>127</v>
      </c>
      <c r="J40" s="133">
        <f>'1. CattleFinisih&amp;ROI Projection'!F60</f>
        <v>5106.7836857429247</v>
      </c>
      <c r="K40" s="263">
        <f>J40/$J$41</f>
        <v>3.027338194762149E-2</v>
      </c>
      <c r="L40" s="53">
        <f>J40/'1. CattleFinisih&amp;ROI Projection'!$F$21</f>
        <v>53.195663393155463</v>
      </c>
    </row>
    <row r="41" spans="2:12" ht="15.45" x14ac:dyDescent="0.4">
      <c r="B41" s="8" t="s">
        <v>121</v>
      </c>
      <c r="G41" s="134">
        <f>'1. CattleFinisih&amp;ROI Projection'!K102</f>
        <v>1450</v>
      </c>
      <c r="H41" s="8">
        <f>'1. CattleFinisih&amp;ROI Projection'!F21</f>
        <v>96</v>
      </c>
      <c r="I41" s="1" t="s">
        <v>124</v>
      </c>
      <c r="J41" s="76">
        <f>'1. CattleFinisih&amp;ROI Projection'!F62</f>
        <v>168688.90613472252</v>
      </c>
      <c r="L41" s="76">
        <f>SUM(L35:L40)</f>
        <v>1757.176105570026</v>
      </c>
    </row>
    <row r="42" spans="2:12" ht="15" x14ac:dyDescent="0.35">
      <c r="B42" s="8" t="s">
        <v>122</v>
      </c>
      <c r="G42" s="134">
        <f>'1. CattleFinisih&amp;ROI Projection'!K103</f>
        <v>1033.3333333333333</v>
      </c>
      <c r="H42" s="8"/>
    </row>
    <row r="44" spans="2:12" ht="15.45" x14ac:dyDescent="0.4">
      <c r="G44" s="1" t="s">
        <v>180</v>
      </c>
      <c r="L44" s="40">
        <f>'1. CattleFinisih&amp;ROI Projection'!D83</f>
        <v>100.16409645740214</v>
      </c>
    </row>
  </sheetData>
  <sheetProtection sheet="1" objects="1" scenarios="1"/>
  <phoneticPr fontId="19" type="noConversion"/>
  <pageMargins left="0.95" right="0.7" top="0.75" bottom="0.75" header="0.3" footer="0.3"/>
  <pageSetup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C h Z U R 0 M X g u k A A A A 9 Q A A A B I A H A B D b 2 5 m a W c v U G F j a 2 F n Z S 5 4 b W w g o h g A K K A U A A A A A A A A A A A A A A A A A A A A A A A A A A A A h Y 9 B D o I w F E S v Q r q n R d R I y K c s 3 E p i Q j R u m 1 K h E T 6 G F s v d X H g k r y B G U X c u Z 9 5 M M n O / 3 i A d m t q 7 q M 7 o F h M y o w H x F M q 2 0 F g m p L d H P y I p h 6 2 Q J 1 E q b w y j i Q e j E 1 J Z e 4 4 Z c 8 5 R N 6 d t V 7 I w C G b s k G 1 y W a l G + B q N F S g V + b S K / y 3 C Y f 8 a w 0 M a L e l q M U 4 C N n m Q a f z y c G R P + m P C u q 9 t 3 y m u 0 N / l w C Y J 7 H 2 B P w B Q S w M E F A A C A A g A P C h Z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w o W V E o i k e 4 D g A A A B E A A A A T A B w A R m 9 y b X V s Y X M v U 2 V j d G l v b j E u b S C i G A A o o B Q A A A A A A A A A A A A A A A A A A A A A A A A A A A A r T k 0 u y c z P U w i G 0 I b W A F B L A Q I t A B Q A A g A I A D w o W V E d D F 4 L p A A A A P U A A A A S A A A A A A A A A A A A A A A A A A A A A A B D b 2 5 m a W c v U G F j a 2 F n Z S 5 4 b W x Q S w E C L Q A U A A I A C A A 8 K F l R D 8 r p q 6 Q A A A D p A A A A E w A A A A A A A A A A A A A A A A D w A A A A W 0 N v b n R l b n R f V H l w Z X N d L n h t b F B L A Q I t A B Q A A g A I A D w o W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r f 6 O v 3 v e c Q p / S z K B Y E 4 S S A A A A A A I A A A A A A B B m A A A A A Q A A I A A A A E X R l W J l e 1 5 p N 7 1 8 u / y 2 Q F R 9 4 7 p j b x N Z w P K h L x h S J X A c A A A A A A 6 A A A A A A g A A I A A A A G U F s F g X r P e x v U u o 6 M X B 2 h 1 f R G E d V j t V f 6 l T H 1 e X I r 2 / U A A A A C f x h o V n H p / 8 h b 8 / G E w k i / 8 h y k q U Y M j O l 6 c z 7 a 4 q 1 J + Z 5 t o E X 2 V t D r 0 I 2 j 1 2 G i 8 9 E 5 A U q P P B b P 7 j p V t S + y T s 3 e A y J Y W p O x 5 y j o Y h P X l Z l h 2 M Q A A A A N b I u n x q r 7 n h T Y 5 / Q D D + r R r 3 G z U O e m B 5 j j E u a O 1 V 3 6 Y s B Y u C t 9 b q r 5 y I P v o h E O T m s g P g / U Z t t Y 6 u t + 8 A 6 o M 4 K O w = < / D a t a M a s h u p > 
</file>

<file path=customXml/itemProps1.xml><?xml version="1.0" encoding="utf-8"?>
<ds:datastoreItem xmlns:ds="http://schemas.openxmlformats.org/officeDocument/2006/customXml" ds:itemID="{1CDCDD7A-8277-400A-B364-4E72B280B1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1. CattleFinisih&amp;ROI Projection</vt:lpstr>
      <vt:lpstr>2.Performance Report</vt:lpstr>
      <vt:lpstr>3. Graphs</vt:lpstr>
      <vt:lpstr>margin_slide</vt:lpstr>
      <vt:lpstr>'1. CattleFinisih&amp;ROI Projection'!Print_Area</vt:lpstr>
      <vt:lpstr>'2.Performance Report'!Print_Area</vt:lpstr>
      <vt:lpstr>'3. Graphs'!Print_Area</vt:lpstr>
      <vt:lpstr>sell_keep</vt:lpstr>
    </vt:vector>
  </TitlesOfParts>
  <Company>Texas A&amp;M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 Kolle</dc:creator>
  <cp:lastModifiedBy>Jim McGrann</cp:lastModifiedBy>
  <cp:lastPrinted>2021-01-07T02:48:23Z</cp:lastPrinted>
  <dcterms:created xsi:type="dcterms:W3CDTF">2000-10-06T20:53:55Z</dcterms:created>
  <dcterms:modified xsi:type="dcterms:W3CDTF">2021-01-07T02:56:29Z</dcterms:modified>
</cp:coreProperties>
</file>