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mcgra\Documents\2021 Additions  V. Dairy Cattle Retaimed  Owmership Economics 1-7-2021\Third Section\"/>
    </mc:Choice>
  </mc:AlternateContent>
  <xr:revisionPtr revIDLastSave="0" documentId="13_ncr:1_{4D206713-74C6-4432-85F5-106528680A14}" xr6:coauthVersionLast="45" xr6:coauthVersionMax="45" xr10:uidLastSave="{00000000-0000-0000-0000-000000000000}"/>
  <bookViews>
    <workbookView xWindow="-103" yWindow="-103" windowWidth="16663" windowHeight="8863" tabRatio="604" xr2:uid="{00000000-000D-0000-FFFF-FFFF00000000}"/>
  </bookViews>
  <sheets>
    <sheet name="1.Value of Gain&amp;MarginAnalysis" sheetId="13" r:id="rId1"/>
    <sheet name="2. Graphs " sheetId="16" r:id="rId2"/>
    <sheet name="3.Decision Aid  Definitions" sheetId="14" r:id="rId3"/>
    <sheet name="4. Do Your Own Price Breakeven" sheetId="15" r:id="rId4"/>
  </sheets>
  <definedNames>
    <definedName name="_xlnm.Print_Area" localSheetId="0">'1.Value of Gain&amp;MarginAnalysis'!$B$1:$F$53</definedName>
    <definedName name="_xlnm.Print_Area" localSheetId="1">'2. Graphs '!$B$1:$H$53</definedName>
    <definedName name="_xlnm.Print_Area" localSheetId="3">'4. Do Your Own Price Breakeven'!$B$2:$B$22</definedName>
  </definedNames>
  <calcPr calcId="181029"/>
</workbook>
</file>

<file path=xl/calcChain.xml><?xml version="1.0" encoding="utf-8"?>
<calcChain xmlns="http://schemas.openxmlformats.org/spreadsheetml/2006/main">
  <c r="O41" i="13" l="1"/>
  <c r="H6" i="13" l="1"/>
  <c r="N37" i="13"/>
  <c r="N36" i="13"/>
  <c r="N38" i="13" l="1"/>
  <c r="O36" i="13"/>
  <c r="M36" i="13"/>
  <c r="H9" i="13" l="1"/>
  <c r="C9" i="13" s="1"/>
  <c r="N33" i="13" l="1"/>
  <c r="M40" i="13" l="1"/>
  <c r="D10" i="13" l="1"/>
  <c r="E10" i="13" l="1"/>
  <c r="C15" i="13"/>
  <c r="D20" i="13" s="1"/>
  <c r="C22" i="13" s="1"/>
  <c r="H12" i="13"/>
  <c r="F28" i="13"/>
  <c r="M37" i="13" s="1"/>
  <c r="C11" i="13" l="1"/>
  <c r="E5" i="13" s="1"/>
  <c r="C34" i="13"/>
  <c r="C28" i="13"/>
  <c r="E8" i="13"/>
  <c r="E13" i="13"/>
  <c r="E15" i="13" s="1"/>
  <c r="F7" i="13"/>
  <c r="M13" i="13"/>
  <c r="D51" i="16" s="1"/>
  <c r="C17" i="13"/>
  <c r="D27" i="13" s="1"/>
  <c r="E27" i="13" s="1"/>
  <c r="F27" i="13" s="1"/>
  <c r="M2" i="13" l="1"/>
  <c r="F15" i="13"/>
  <c r="F22" i="13"/>
  <c r="O37" i="13"/>
  <c r="O33" i="13"/>
  <c r="C24" i="13"/>
  <c r="F8" i="13"/>
  <c r="M35" i="13" s="1"/>
  <c r="E44" i="13"/>
  <c r="F34" i="13"/>
  <c r="E22" i="13" l="1"/>
  <c r="C46" i="16" s="1"/>
  <c r="K14" i="16" s="1"/>
  <c r="N35" i="13"/>
  <c r="O35" i="13" s="1"/>
  <c r="O38" i="13" s="1"/>
  <c r="M5" i="13"/>
  <c r="D46" i="16"/>
  <c r="L14" i="16" s="1"/>
  <c r="M7" i="13"/>
  <c r="M4" i="13"/>
  <c r="F17" i="13"/>
  <c r="E17" i="13" s="1"/>
  <c r="O40" i="13" l="1"/>
  <c r="E32" i="13" s="1"/>
  <c r="G35" i="13"/>
  <c r="D49" i="16"/>
  <c r="M38" i="13"/>
  <c r="M6" i="13" l="1"/>
  <c r="E35" i="13"/>
  <c r="C32" i="13"/>
  <c r="F32" i="13" l="1"/>
  <c r="E48" i="13" s="1"/>
  <c r="C37" i="13" l="1"/>
  <c r="D48" i="13" s="1"/>
  <c r="M8" i="13"/>
  <c r="F33" i="13"/>
  <c r="E33" i="13" l="1"/>
  <c r="I33" i="13"/>
  <c r="F36" i="13"/>
  <c r="C33" i="13" l="1"/>
  <c r="M12" i="13"/>
  <c r="E36" i="13"/>
  <c r="C36" i="13" s="1"/>
  <c r="F38" i="13"/>
  <c r="E45" i="13" l="1"/>
  <c r="D50" i="16"/>
  <c r="M14" i="13"/>
  <c r="E46" i="16"/>
  <c r="F46" i="16" s="1"/>
  <c r="N14" i="16" s="1"/>
  <c r="E46" i="13"/>
  <c r="F42" i="13"/>
  <c r="E42" i="13" s="1"/>
  <c r="E49" i="13" s="1"/>
  <c r="E38" i="13"/>
  <c r="E40" i="13" s="1"/>
  <c r="E51" i="16" l="1"/>
  <c r="N14" i="13"/>
  <c r="N13" i="13"/>
  <c r="M16" i="13"/>
  <c r="N16" i="13" s="1"/>
  <c r="N4" i="13"/>
  <c r="N8" i="13"/>
  <c r="D52" i="16"/>
  <c r="N7" i="13"/>
  <c r="N5" i="13"/>
  <c r="E49" i="16"/>
  <c r="N6" i="13"/>
  <c r="E50" i="16"/>
  <c r="M14" i="16"/>
  <c r="E52" i="16" l="1"/>
  <c r="I50" i="16"/>
  <c r="I49" i="16"/>
  <c r="I52" i="16"/>
  <c r="I51" i="16"/>
</calcChain>
</file>

<file path=xl/sharedStrings.xml><?xml version="1.0" encoding="utf-8"?>
<sst xmlns="http://schemas.openxmlformats.org/spreadsheetml/2006/main" count="160" uniqueCount="143">
  <si>
    <t>$/Head</t>
  </si>
  <si>
    <t>Marketing Margin</t>
  </si>
  <si>
    <t>Feeding  Margin</t>
  </si>
  <si>
    <t>Cost of Gain + Target Margin</t>
  </si>
  <si>
    <t>Total Cost - Initial Cattle Plus Cost of Gain</t>
  </si>
  <si>
    <t>Death Loss % &amp; Head</t>
  </si>
  <si>
    <t>Head</t>
  </si>
  <si>
    <t>Total</t>
  </si>
  <si>
    <t>$/Hd./Out</t>
  </si>
  <si>
    <t>Annualized Average Investment $/Hd.</t>
  </si>
  <si>
    <t>Class of Cattle</t>
  </si>
  <si>
    <t xml:space="preserve">  Health &amp; Processing</t>
  </si>
  <si>
    <t xml:space="preserve">  Interest</t>
  </si>
  <si>
    <t xml:space="preserve">  Labor and Management*</t>
  </si>
  <si>
    <t>Cost of Gain Include</t>
  </si>
  <si>
    <t>Target Margin</t>
  </si>
  <si>
    <t>Total Cost</t>
  </si>
  <si>
    <t>Net Margin</t>
  </si>
  <si>
    <t>Percent</t>
  </si>
  <si>
    <t>Summary</t>
  </si>
  <si>
    <t>Market Value of Sale</t>
  </si>
  <si>
    <t>Interest</t>
  </si>
  <si>
    <t>Target Return on Investment - ROI</t>
  </si>
  <si>
    <t>Lb./ Head</t>
  </si>
  <si>
    <t>$/Lb./Gain</t>
  </si>
  <si>
    <t>Return Investment Including Target Margin - ROI</t>
  </si>
  <si>
    <t xml:space="preserve">Cost of Gain </t>
  </si>
  <si>
    <t>COG</t>
  </si>
  <si>
    <t xml:space="preserve">  General &amp; Administrative </t>
  </si>
  <si>
    <t>Cost of Calf- Stocker</t>
  </si>
  <si>
    <t>Indirect</t>
  </si>
  <si>
    <t>Total Cost of  Gain - COG</t>
  </si>
  <si>
    <t>Direct</t>
  </si>
  <si>
    <t>Finance</t>
  </si>
  <si>
    <t>Gain Cost</t>
  </si>
  <si>
    <t>$/Lb. of Gain</t>
  </si>
  <si>
    <r>
      <t>Value of Gain (VOG)</t>
    </r>
    <r>
      <rPr>
        <sz val="12"/>
        <color theme="1"/>
        <rFont val="Times New Roman"/>
        <family val="1"/>
      </rPr>
      <t xml:space="preserve"> = ((Total Revenue of Cattle Out -Total Cattle In Cost)/Net Gain) When measuring projection or closeouts profitability the value of gain (VOG) versus (COG) of gain is a good measure to review. Value of gain must be greater than COG for the finishing activity to be profitable.   </t>
    </r>
  </si>
  <si>
    <t>Retaining ownership is a margin business. An area of information not communally observed in finish closeout performance evaluation is where the margins are earned. These values stress the importance of marketing when retaining cattle ownership. These margins are defined as follows:</t>
  </si>
  <si>
    <r>
      <rPr>
        <b/>
        <sz val="12"/>
        <color theme="1"/>
        <rFont val="Times New Roman"/>
        <family val="1"/>
      </rPr>
      <t xml:space="preserve">Feeding Margin </t>
    </r>
    <r>
      <rPr>
        <sz val="12"/>
        <color theme="1"/>
        <rFont val="Times New Roman"/>
        <family val="1"/>
      </rPr>
      <t xml:space="preserve">is the sales price minus the cost of gain times the net payweight gain.  It is a measure of how much the value of gain exceeds the cost of gain.  Under normal buy-sell prices, there is a negative marketing margin.  The feeding margin must offset this negative marketing margin for the enterprise to generate a positive net income.  To generate a profit, the marketing margin plus the feeding margin must be positive. Feeding Margin is the net finished fed sales price minus the total cost of gain times the net payweight gain.  </t>
    </r>
  </si>
  <si>
    <r>
      <rPr>
        <b/>
        <sz val="12"/>
        <color theme="1"/>
        <rFont val="Times New Roman"/>
        <family val="1"/>
      </rPr>
      <t>Net Margin or Net Income</t>
    </r>
    <r>
      <rPr>
        <sz val="12"/>
        <color theme="1"/>
        <rFont val="Times New Roman"/>
        <family val="1"/>
      </rPr>
      <t xml:space="preserve"> is the difference between the value of the net sales and the original stocker/feeder value and added cost for production including direct, indirect cost and financing cost.  If these costs are included this is total cost or total unit cost (TUC) per head and per cwt. of cattle marketed. The net margin or net income is made up of two components, marketing margin and feeding margin. The sum of marketing margin and feeding margin is net income or profit per head.</t>
    </r>
  </si>
  <si>
    <r>
      <rPr>
        <b/>
        <sz val="12"/>
        <rFont val="Times New Roman"/>
        <family val="1"/>
      </rPr>
      <t>Annualized Return on Investment (ROI)</t>
    </r>
    <r>
      <rPr>
        <sz val="12"/>
        <rFont val="Times New Roman"/>
        <family val="1"/>
      </rPr>
      <t xml:space="preserve"> is the net income plus cash interest paid divided by annualized capital investment requirement to support the cattle feeding activity. The reason interest is added back is interest paid represents a return the debt capital. ROI is a return to capital invested irrespective of capital ownership. Capital is adjusted for the time cattle are on feed. Investment required is estimated by taking one half of the investment is non-cattle costs plus the total payweight cost of the feeder cattle times days on feed divided by 365 days. A low ROI is due to high feeder cost relative to sales value, high feeding costs of gain, poor production performance or a combination of these factors</t>
    </r>
  </si>
  <si>
    <t xml:space="preserve">  Feed  Cost, processing and health. </t>
  </si>
  <si>
    <t xml:space="preserve">Value of Feedyard Gain </t>
  </si>
  <si>
    <t>Feedyard + Owner Indirect Costs.</t>
  </si>
  <si>
    <t>This is cost for gain including target return.</t>
  </si>
  <si>
    <r>
      <t xml:space="preserve">Published retained ownership reports use </t>
    </r>
    <r>
      <rPr>
        <b/>
        <sz val="12"/>
        <rFont val="Times New Roman"/>
        <family val="1"/>
      </rPr>
      <t>calculate breakeven as if it were the ultimate goal.</t>
    </r>
    <r>
      <rPr>
        <sz val="12"/>
        <rFont val="Times New Roman"/>
        <family val="1"/>
      </rPr>
      <t xml:space="preserve">  It is extremely important to understand what costs are included to arrive at the breakeven sales price reported. Nothing is achieved using breakeven price when incomplete costs is used to guide decision to retain ownership</t>
    </r>
    <r>
      <rPr>
        <b/>
        <sz val="12"/>
        <rFont val="Times New Roman"/>
        <family val="1"/>
      </rPr>
      <t xml:space="preserve">. </t>
    </r>
  </si>
  <si>
    <r>
      <t xml:space="preserve">Be sure to do </t>
    </r>
    <r>
      <rPr>
        <b/>
        <sz val="12"/>
        <rFont val="Times New Roman"/>
        <family val="1"/>
      </rPr>
      <t>“what if”</t>
    </r>
    <r>
      <rPr>
        <sz val="12"/>
        <rFont val="Times New Roman"/>
        <family val="1"/>
      </rPr>
      <t xml:space="preserve"> analysis before making the commitment to retained ownership.</t>
    </r>
  </si>
  <si>
    <r>
      <rPr>
        <b/>
        <sz val="12"/>
        <color theme="1"/>
        <rFont val="Times New Roman"/>
        <family val="1"/>
      </rPr>
      <t>Marketing Margin</t>
    </r>
    <r>
      <rPr>
        <sz val="12"/>
        <color theme="1"/>
        <rFont val="Times New Roman"/>
        <family val="1"/>
      </rPr>
      <t xml:space="preserve"> is the net payweight sales for the weaned calf or purchase payweight of the feeder based on sales and inventory adjustments times buy/sell margin or the rollback or roll-up (positive or negative margins between cost of buying and selling price).  For a negative marketing margin, the cost of gain has to be less than its market price (sales price) to have a positive net income. </t>
    </r>
  </si>
  <si>
    <r>
      <t xml:space="preserve">At the time a raised or purchased feeder is ready for sale it’s good to know the full cost of the feeder. However, the full cost is a </t>
    </r>
    <r>
      <rPr>
        <b/>
        <sz val="12"/>
        <rFont val="Times New Roman"/>
        <family val="1"/>
      </rPr>
      <t xml:space="preserve">“sunk cost” </t>
    </r>
    <r>
      <rPr>
        <sz val="12"/>
        <rFont val="Times New Roman"/>
        <family val="1"/>
      </rPr>
      <t>it cannot be reversed or changed. The net market price needs to be estimated by reviewing marketing options. The question is to retain or sell?</t>
    </r>
  </si>
  <si>
    <t>The reported breakeven price does not include a profit for the feeder owner. It’s a zero return on investment (ROI).  This is why the retained ownership producer must do their own analysis. A business will go broke if there is no income to pay business indirect or overhead costs or provide a positive ROI.</t>
  </si>
  <si>
    <t>Finishing cattle should provide a favorable return on investment as there is added production and market price risk.</t>
  </si>
  <si>
    <r>
      <t xml:space="preserve">When evaluating retained ownership through finishing the feeder cost is a sunk cost and the net sales price is the </t>
    </r>
    <r>
      <rPr>
        <b/>
        <sz val="12"/>
        <rFont val="Times New Roman"/>
        <family val="1"/>
      </rPr>
      <t xml:space="preserve">“opportunity sales value” </t>
    </r>
    <r>
      <rPr>
        <sz val="12"/>
        <rFont val="Times New Roman"/>
        <family val="1"/>
      </rPr>
      <t>of the feeder. Knowing the net income (loss) if sold as a feeder is very valuable decision information. It’s then it’s a question will retain ownership adding net income or more losses at the custom finishing phase?</t>
    </r>
  </si>
  <si>
    <t>This decision aids allows alternative ways to enter the feeder owner’s indirect costs when entering the feeder initial net payweight costs of the feeder or in the cost if gain addition to the feedyard cost of gain (COG). Also, a target margin is entered to calculate target net return or profit and return on investment (ROI).</t>
  </si>
  <si>
    <t xml:space="preserve">Incomplete Costs Breakeven Price is  Not a Useful Guide for Retained Ownership </t>
  </si>
  <si>
    <t xml:space="preserve">          Finished Fed Cattle Margin Calculation Report Definitions</t>
  </si>
  <si>
    <t xml:space="preserve">  Indirect or Yardage - $/Head Day*</t>
  </si>
  <si>
    <t>Target Margin  - $/Lb., $/Head</t>
  </si>
  <si>
    <t xml:space="preserve">Cost of Net Gain </t>
  </si>
  <si>
    <t>Cost of Feeder</t>
  </si>
  <si>
    <t>% of Total</t>
  </si>
  <si>
    <t>Check</t>
  </si>
  <si>
    <t>Net Margin With Target Return</t>
  </si>
  <si>
    <t>Total Feedyard Costs of Gain per Lb.</t>
  </si>
  <si>
    <t>Feedyard level included direct costs and indirect or yardage cost.</t>
  </si>
  <si>
    <t>Feeder owner indirect costs.</t>
  </si>
  <si>
    <t>*Feeder owner indirect costs.</t>
  </si>
  <si>
    <t>Feeder Cattle Retained Finished Cattle Ownership Decision</t>
  </si>
  <si>
    <t xml:space="preserve">     $/Cwt.</t>
  </si>
  <si>
    <t>Breaking even is financial failure as a business is not financially sustainable if net price received in retained ownership merely covers feedyard direct costs. Full cost breakeven are not reported in the cattle sector.  That is the feeder cattle owner’s responsibility. This decision aid calculates full cost breakeven cost or price.</t>
  </si>
  <si>
    <t>$/Cwt./Out</t>
  </si>
  <si>
    <t>Feedyard level calculations of retained ownership are only direct feedyard costs of production. The only interest cost is for capital provided by the feedyard to the feeder owner but does not include the feeder owners equity capital. Nothing is included to cover the feeder’s owner’s indirect cost of labor and management (living withdrawals) or taxes. When doing a projection this must be included in the feeder’ initial payweight feeder costs or added into the retained ownership projection.</t>
  </si>
  <si>
    <t xml:space="preserve">Accumulated Cost or payweight market value </t>
  </si>
  <si>
    <t>or opportunity cost.</t>
  </si>
  <si>
    <t>_____________________________________________________________________________</t>
  </si>
  <si>
    <t>Income</t>
  </si>
  <si>
    <t>Feeder owner target net margin or net income.</t>
  </si>
  <si>
    <t>Finishing Phase of Retained Ownership - Calculate the Total Costs and Net Margin</t>
  </si>
  <si>
    <t>______________________</t>
  </si>
  <si>
    <t>User must use their own data. Actual closeout data is a great source of actual performance data.</t>
  </si>
  <si>
    <t>Net Margin Including Target Margin or Net Income</t>
  </si>
  <si>
    <t>Cost of feeder represents the accumulated feeder cost.</t>
  </si>
  <si>
    <t>Market Net Payweight - Net of Shrink</t>
  </si>
  <si>
    <t>Angus - Holstein cross feeders finished - used accumulated feeder cost as initial cost.</t>
  </si>
  <si>
    <t>Lb./Hd./In</t>
  </si>
  <si>
    <t>Lb./Hd./Out</t>
  </si>
  <si>
    <t xml:space="preserve">Net Market Payweight Price </t>
  </si>
  <si>
    <t>Indirect Costs of Gain*</t>
  </si>
  <si>
    <t xml:space="preserve">         $/Head</t>
  </si>
  <si>
    <t>Cost of Gain</t>
  </si>
  <si>
    <t>Feeder Cost</t>
  </si>
  <si>
    <t>Cost 0f Gain</t>
  </si>
  <si>
    <t>Net Income</t>
  </si>
  <si>
    <t xml:space="preserve"> $/Head</t>
  </si>
  <si>
    <t xml:space="preserve">Net Gain </t>
  </si>
  <si>
    <t>Total Lb. Out</t>
  </si>
  <si>
    <t>Starting and Ending Date &amp; Head</t>
  </si>
  <si>
    <t>Net Wt. Out</t>
  </si>
  <si>
    <t>Head Out</t>
  </si>
  <si>
    <t>Net Head Out</t>
  </si>
  <si>
    <t>Shrink and Death Loss Adjusted Out</t>
  </si>
  <si>
    <t xml:space="preserve"> Total Value</t>
  </si>
  <si>
    <t xml:space="preserve">Must adjust for freight and other marketing costs. </t>
  </si>
  <si>
    <t xml:space="preserve">TUC - Full Cost + Target Return </t>
  </si>
  <si>
    <t>Finished Cost</t>
  </si>
  <si>
    <t>Head Loss</t>
  </si>
  <si>
    <t>Initial Payweight of Feeder - Lb.</t>
  </si>
  <si>
    <t>Initial Payweight Cost of Feeder - Lb.</t>
  </si>
  <si>
    <t>Gross Weight Out Before Shrink - Lb.</t>
  </si>
  <si>
    <t>Average Daily Gain  - Lb.</t>
  </si>
  <si>
    <t>Days on Feed &amp; Net ADG</t>
  </si>
  <si>
    <t>High death loss is an issue with light feeders going into feedyards.</t>
  </si>
  <si>
    <t>Gross Payweight Price - $/Cwt.</t>
  </si>
  <si>
    <t>$/Cwt. Out</t>
  </si>
  <si>
    <t xml:space="preserve">Shrink % When Sold </t>
  </si>
  <si>
    <t>Marketing Costs - $/Head &amp; $/Cwt.</t>
  </si>
  <si>
    <t>Annualized Investment Required Calculation</t>
  </si>
  <si>
    <t>Capital Cost</t>
  </si>
  <si>
    <t xml:space="preserve">      Total</t>
  </si>
  <si>
    <t xml:space="preserve">     Days</t>
  </si>
  <si>
    <t>Head Out &amp; Days</t>
  </si>
  <si>
    <t>Production Costs</t>
  </si>
  <si>
    <t>$/Head Out</t>
  </si>
  <si>
    <t>Invest./Hd</t>
  </si>
  <si>
    <t>Cattle</t>
  </si>
  <si>
    <t>Feeding</t>
  </si>
  <si>
    <t>Indirect Costs</t>
  </si>
  <si>
    <t xml:space="preserve">     Interest/Hd. </t>
  </si>
  <si>
    <t>Interest Rate % and Cost</t>
  </si>
  <si>
    <t>%</t>
  </si>
  <si>
    <t xml:space="preserve">Beef x Dairy feeder cattle </t>
  </si>
  <si>
    <t>ROI = Interest, plus target income, plus net income divided by annualized investment.</t>
  </si>
  <si>
    <t>Net gain per head in shrink adjusted.</t>
  </si>
  <si>
    <t>Head In</t>
  </si>
  <si>
    <t>Version 1-5-2021</t>
  </si>
  <si>
    <t>$/Hd./In</t>
  </si>
  <si>
    <t>Gain/Head</t>
  </si>
  <si>
    <t>Out Weight</t>
  </si>
  <si>
    <t xml:space="preserve">       Total</t>
  </si>
  <si>
    <t>days</t>
  </si>
  <si>
    <t>% Borrowed</t>
  </si>
  <si>
    <t>Interest Cost</t>
  </si>
  <si>
    <t xml:space="preserve"> Finance Cost - Interest Rate - %</t>
  </si>
  <si>
    <t>Price Roll Back - $/Cwt.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</si>
</sst>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3" formatCode="_(* #,##0.00_);_(* \(#,##0.00\);_(* &quot;-&quot;??_);_(@_)"/>
    <numFmt numFmtId="164" formatCode="&quot;$&quot;#,##0.00"/>
    <numFmt numFmtId="165" formatCode="&quot;$&quot;#,##0"/>
    <numFmt numFmtId="166" formatCode="[$-409]d\-mmm\-yy;@"/>
    <numFmt numFmtId="167" formatCode="_(* #,##0_);_(* \(#,##0\);_(* &quot;-&quot;??_);_(@_)"/>
    <numFmt numFmtId="168" formatCode="#,##0.0_);[Red]\(#,##0.0\)"/>
    <numFmt numFmtId="169" formatCode="0.0%"/>
    <numFmt numFmtId="170" formatCode="&quot;$&quot;#,##0.000"/>
    <numFmt numFmtId="171" formatCode="_(* #,##0.0_);_(* \(#,##0.0\);_(* &quot;-&quot;??_);_(@_)"/>
  </numFmts>
  <fonts count="27" x14ac:knownFonts="1">
    <font>
      <sz val="10"/>
      <name val="Arial"/>
    </font>
    <font>
      <sz val="10"/>
      <name val="Arial"/>
      <family val="2"/>
    </font>
    <font>
      <sz val="12"/>
      <name val="Arial"/>
      <family val="2"/>
    </font>
    <font>
      <b/>
      <sz val="12"/>
      <name val="Arial"/>
      <family val="2"/>
    </font>
    <font>
      <sz val="12"/>
      <name val="Arial"/>
      <family val="2"/>
    </font>
    <font>
      <sz val="12"/>
      <color indexed="39"/>
      <name val="Arial"/>
      <family val="2"/>
    </font>
    <font>
      <sz val="12"/>
      <color indexed="39"/>
      <name val="Arial"/>
      <family val="2"/>
    </font>
    <font>
      <b/>
      <sz val="12"/>
      <name val="Arial"/>
      <family val="2"/>
    </font>
    <font>
      <sz val="10"/>
      <name val="Arial"/>
      <family val="2"/>
    </font>
    <font>
      <b/>
      <sz val="10"/>
      <name val="Arial"/>
      <family val="2"/>
    </font>
    <font>
      <sz val="10"/>
      <color indexed="39"/>
      <name val="Arial"/>
      <family val="2"/>
    </font>
    <font>
      <b/>
      <sz val="12"/>
      <color indexed="39"/>
      <name val="Arial"/>
      <family val="2"/>
    </font>
    <font>
      <sz val="10"/>
      <name val="Arial"/>
      <family val="2"/>
    </font>
    <font>
      <b/>
      <sz val="11"/>
      <name val="Arial"/>
      <family val="2"/>
    </font>
    <font>
      <b/>
      <sz val="8"/>
      <name val="Arial"/>
      <family val="2"/>
    </font>
    <font>
      <sz val="12"/>
      <name val="Arial"/>
      <family val="2"/>
    </font>
    <font>
      <sz val="8"/>
      <name val="Arial"/>
      <family val="2"/>
    </font>
    <font>
      <sz val="12"/>
      <color rgb="FF0000FF"/>
      <name val="Arial"/>
      <family val="2"/>
    </font>
    <font>
      <b/>
      <sz val="12"/>
      <color theme="1"/>
      <name val="Times New Roman"/>
      <family val="1"/>
    </font>
    <font>
      <sz val="12"/>
      <color theme="1"/>
      <name val="Times New Roman"/>
      <family val="1"/>
    </font>
    <font>
      <sz val="11"/>
      <color theme="1"/>
      <name val="Times New Roman"/>
      <family val="1"/>
    </font>
    <font>
      <sz val="12"/>
      <name val="Times New Roman"/>
      <family val="1"/>
    </font>
    <font>
      <b/>
      <sz val="12"/>
      <name val="Times New Roman"/>
      <family val="1"/>
    </font>
    <font>
      <sz val="8"/>
      <name val="Arial"/>
      <family val="2"/>
    </font>
    <font>
      <sz val="11"/>
      <name val="Arial"/>
      <family val="2"/>
    </font>
    <font>
      <sz val="11"/>
      <color rgb="FF0000FF"/>
      <name val="Arial"/>
      <family val="2"/>
    </font>
    <font>
      <sz val="12"/>
      <color rgb="FFFF0000"/>
      <name val="Arial"/>
      <family val="2"/>
    </font>
  </fonts>
  <fills count="3">
    <fill>
      <patternFill patternType="none"/>
    </fill>
    <fill>
      <patternFill patternType="gray125"/>
    </fill>
    <fill>
      <patternFill patternType="solid">
        <fgColor rgb="FFCC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2" fillId="0" borderId="0" xfId="0" applyFont="1"/>
    <xf numFmtId="0" fontId="3" fillId="0" borderId="0" xfId="0" applyFont="1"/>
    <xf numFmtId="0" fontId="7" fillId="0" borderId="0" xfId="0" applyFont="1"/>
    <xf numFmtId="0" fontId="3" fillId="0" borderId="0" xfId="0" applyFont="1" applyAlignment="1">
      <alignment horizontal="center"/>
    </xf>
    <xf numFmtId="38" fontId="6" fillId="0" borderId="0" xfId="0" applyNumberFormat="1" applyFont="1"/>
    <xf numFmtId="6" fontId="6" fillId="0" borderId="0" xfId="0" applyNumberFormat="1" applyFont="1"/>
    <xf numFmtId="8" fontId="6" fillId="0" borderId="0" xfId="0" applyNumberFormat="1" applyFont="1"/>
    <xf numFmtId="8" fontId="3" fillId="0" borderId="0" xfId="0" applyNumberFormat="1" applyFont="1"/>
    <xf numFmtId="8" fontId="0" fillId="0" borderId="0" xfId="0" applyNumberFormat="1"/>
    <xf numFmtId="6" fontId="2" fillId="0" borderId="0" xfId="0" applyNumberFormat="1" applyFont="1"/>
    <xf numFmtId="164" fontId="2" fillId="0" borderId="0" xfId="0" applyNumberFormat="1" applyFont="1"/>
    <xf numFmtId="6" fontId="0" fillId="0" borderId="0" xfId="0" applyNumberFormat="1"/>
    <xf numFmtId="6" fontId="3" fillId="0" borderId="0" xfId="0" applyNumberFormat="1" applyFont="1"/>
    <xf numFmtId="6" fontId="1" fillId="0" borderId="0" xfId="0" applyNumberFormat="1" applyFont="1"/>
    <xf numFmtId="0" fontId="8" fillId="0" borderId="0" xfId="0" applyFont="1"/>
    <xf numFmtId="0" fontId="3" fillId="0" borderId="0" xfId="0" applyFont="1" applyFill="1" applyBorder="1"/>
    <xf numFmtId="169" fontId="3" fillId="0" borderId="0" xfId="2" applyNumberFormat="1" applyFont="1"/>
    <xf numFmtId="0" fontId="8" fillId="0" borderId="0" xfId="0" applyFont="1" applyFill="1" applyBorder="1"/>
    <xf numFmtId="0" fontId="10" fillId="0" borderId="0" xfId="0" applyFont="1" applyProtection="1">
      <protection locked="0"/>
    </xf>
    <xf numFmtId="0" fontId="12" fillId="0" borderId="0" xfId="0" applyFont="1"/>
    <xf numFmtId="38" fontId="2" fillId="0" borderId="0" xfId="0" applyNumberFormat="1" applyFont="1"/>
    <xf numFmtId="166" fontId="2" fillId="0" borderId="0" xfId="0" applyNumberFormat="1" applyFont="1"/>
    <xf numFmtId="0" fontId="5" fillId="0" borderId="0" xfId="0" applyFont="1" applyAlignment="1" applyProtection="1">
      <alignment horizontal="left"/>
      <protection locked="0"/>
    </xf>
    <xf numFmtId="8" fontId="11" fillId="0" borderId="0" xfId="0" applyNumberFormat="1" applyFont="1"/>
    <xf numFmtId="0" fontId="13" fillId="0" borderId="0" xfId="0" applyFont="1" applyAlignment="1">
      <alignment horizontal="right"/>
    </xf>
    <xf numFmtId="8" fontId="3" fillId="0" borderId="0" xfId="0" applyNumberFormat="1" applyFont="1" applyAlignment="1">
      <alignment horizontal="center"/>
    </xf>
    <xf numFmtId="3" fontId="2" fillId="0" borderId="0" xfId="0" applyNumberFormat="1" applyFont="1"/>
    <xf numFmtId="38" fontId="3" fillId="0" borderId="0" xfId="0" applyNumberFormat="1" applyFont="1"/>
    <xf numFmtId="38" fontId="6" fillId="0" borderId="1" xfId="0" applyNumberFormat="1" applyFont="1" applyBorder="1" applyProtection="1">
      <protection locked="0"/>
    </xf>
    <xf numFmtId="0" fontId="4" fillId="0" borderId="0" xfId="0" applyFont="1"/>
    <xf numFmtId="167" fontId="2" fillId="0" borderId="0" xfId="1" applyNumberFormat="1" applyFont="1"/>
    <xf numFmtId="167" fontId="2" fillId="0" borderId="0" xfId="0" applyNumberFormat="1" applyFont="1"/>
    <xf numFmtId="38" fontId="2" fillId="0" borderId="0" xfId="0" applyNumberFormat="1" applyFont="1" applyProtection="1"/>
    <xf numFmtId="6" fontId="2" fillId="0" borderId="0" xfId="0" applyNumberFormat="1" applyFont="1" applyProtection="1"/>
    <xf numFmtId="165" fontId="2" fillId="0" borderId="0" xfId="0" applyNumberFormat="1" applyFont="1"/>
    <xf numFmtId="0" fontId="9" fillId="0" borderId="0" xfId="0" applyFont="1" applyAlignment="1">
      <alignment horizontal="center"/>
    </xf>
    <xf numFmtId="166" fontId="8" fillId="0" borderId="0" xfId="0" applyNumberFormat="1" applyFont="1" applyProtection="1">
      <protection locked="0"/>
    </xf>
    <xf numFmtId="9" fontId="0" fillId="0" borderId="0" xfId="2" applyFont="1"/>
    <xf numFmtId="6" fontId="8" fillId="0" borderId="0" xfId="0" applyNumberFormat="1" applyFont="1"/>
    <xf numFmtId="8" fontId="14" fillId="0" borderId="0" xfId="0" applyNumberFormat="1" applyFont="1"/>
    <xf numFmtId="0" fontId="3" fillId="0" borderId="0" xfId="0" applyFont="1" applyFill="1" applyAlignment="1">
      <alignment horizontal="center"/>
    </xf>
    <xf numFmtId="0" fontId="15" fillId="0" borderId="0" xfId="0" applyFont="1"/>
    <xf numFmtId="0" fontId="3" fillId="0" borderId="0" xfId="0" applyFont="1" applyFill="1"/>
    <xf numFmtId="8" fontId="3" fillId="0" borderId="0" xfId="0" applyNumberFormat="1" applyFont="1" applyFill="1"/>
    <xf numFmtId="0" fontId="0" fillId="0" borderId="0" xfId="0" applyFill="1"/>
    <xf numFmtId="6" fontId="3" fillId="0" borderId="0" xfId="0" applyNumberFormat="1" applyFont="1" applyFill="1"/>
    <xf numFmtId="0" fontId="9" fillId="0" borderId="0" xfId="0" applyFont="1" applyFill="1"/>
    <xf numFmtId="0" fontId="3" fillId="0" borderId="0" xfId="0" applyFont="1" applyFill="1" applyAlignment="1">
      <alignment horizontal="right"/>
    </xf>
    <xf numFmtId="8" fontId="7" fillId="0" borderId="0" xfId="0" applyNumberFormat="1" applyFont="1" applyFill="1"/>
    <xf numFmtId="0" fontId="0" fillId="0" borderId="0" xfId="0" applyAlignment="1">
      <alignment horizontal="center"/>
    </xf>
    <xf numFmtId="0" fontId="0" fillId="0" borderId="2" xfId="0" applyBorder="1"/>
    <xf numFmtId="170" fontId="2" fillId="0" borderId="0" xfId="0" applyNumberFormat="1" applyFont="1"/>
    <xf numFmtId="6" fontId="6" fillId="0" borderId="3" xfId="0" applyNumberFormat="1" applyFont="1" applyBorder="1" applyProtection="1">
      <protection locked="0"/>
    </xf>
    <xf numFmtId="166" fontId="17" fillId="0" borderId="6" xfId="0" applyNumberFormat="1" applyFont="1" applyBorder="1" applyProtection="1">
      <protection locked="0"/>
    </xf>
    <xf numFmtId="38" fontId="6" fillId="0" borderId="3" xfId="0" applyNumberFormat="1" applyFont="1" applyBorder="1" applyProtection="1">
      <protection locked="0"/>
    </xf>
    <xf numFmtId="168" fontId="5" fillId="0" borderId="1" xfId="0" applyNumberFormat="1" applyFont="1" applyBorder="1" applyProtection="1">
      <protection locked="0"/>
    </xf>
    <xf numFmtId="38" fontId="6" fillId="0" borderId="0" xfId="0" applyNumberFormat="1" applyFont="1" applyBorder="1" applyProtection="1">
      <protection locked="0"/>
    </xf>
    <xf numFmtId="8" fontId="2" fillId="0" borderId="0" xfId="0" applyNumberFormat="1" applyFont="1"/>
    <xf numFmtId="9" fontId="8" fillId="0" borderId="0" xfId="2" applyFont="1"/>
    <xf numFmtId="8" fontId="3" fillId="2" borderId="0" xfId="0" applyNumberFormat="1" applyFont="1" applyFill="1" applyBorder="1"/>
    <xf numFmtId="8" fontId="3" fillId="2" borderId="0" xfId="0" applyNumberFormat="1" applyFont="1" applyFill="1"/>
    <xf numFmtId="0" fontId="18" fillId="0" borderId="0" xfId="0" applyFont="1" applyAlignment="1">
      <alignment horizontal="center"/>
    </xf>
    <xf numFmtId="0" fontId="18" fillId="0" borderId="0" xfId="0" applyFont="1" applyAlignment="1">
      <alignment vertical="center" wrapText="1"/>
    </xf>
    <xf numFmtId="0" fontId="19" fillId="0" borderId="0" xfId="0" applyFont="1" applyAlignment="1">
      <alignment wrapText="1"/>
    </xf>
    <xf numFmtId="0" fontId="20" fillId="0" borderId="0" xfId="0" applyFont="1"/>
    <xf numFmtId="0" fontId="21" fillId="0" borderId="0" xfId="0" applyFont="1" applyAlignment="1">
      <alignment wrapText="1"/>
    </xf>
    <xf numFmtId="0" fontId="22"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justify" vertical="center"/>
    </xf>
    <xf numFmtId="0" fontId="22" fillId="0" borderId="0" xfId="0" applyFont="1"/>
    <xf numFmtId="0" fontId="22" fillId="0" borderId="0" xfId="0" applyFont="1" applyAlignment="1">
      <alignment horizontal="justify" vertical="center"/>
    </xf>
    <xf numFmtId="0" fontId="22" fillId="0" borderId="0" xfId="0" applyFont="1" applyAlignment="1">
      <alignment horizontal="center"/>
    </xf>
    <xf numFmtId="0" fontId="22" fillId="0" borderId="0" xfId="0" applyFont="1" applyAlignment="1">
      <alignment horizontal="center" vertical="center"/>
    </xf>
    <xf numFmtId="168" fontId="4" fillId="0" borderId="0" xfId="0" applyNumberFormat="1" applyFont="1"/>
    <xf numFmtId="0" fontId="23" fillId="0" borderId="0" xfId="0" applyFont="1" applyFill="1" applyBorder="1"/>
    <xf numFmtId="165" fontId="4" fillId="0" borderId="0" xfId="0" applyNumberFormat="1" applyFont="1"/>
    <xf numFmtId="169" fontId="0" fillId="0" borderId="0" xfId="2" applyNumberFormat="1" applyFont="1"/>
    <xf numFmtId="8" fontId="17" fillId="0" borderId="1" xfId="0" applyNumberFormat="1" applyFont="1" applyBorder="1" applyProtection="1">
      <protection locked="0"/>
    </xf>
    <xf numFmtId="8" fontId="11" fillId="0" borderId="1" xfId="0" applyNumberFormat="1" applyFont="1" applyBorder="1" applyProtection="1">
      <protection locked="0"/>
    </xf>
    <xf numFmtId="8" fontId="2" fillId="0" borderId="0" xfId="0" applyNumberFormat="1" applyFont="1" applyBorder="1" applyProtection="1"/>
    <xf numFmtId="0" fontId="13" fillId="0" borderId="0" xfId="0" applyFont="1" applyAlignment="1" applyProtection="1">
      <alignment horizontal="center"/>
      <protection locked="0"/>
    </xf>
    <xf numFmtId="0" fontId="24" fillId="0" borderId="0" xfId="0" applyFont="1" applyAlignment="1">
      <alignment horizontal="center"/>
    </xf>
    <xf numFmtId="8" fontId="5" fillId="0" borderId="1" xfId="0" applyNumberFormat="1" applyFont="1" applyBorder="1" applyProtection="1">
      <protection locked="0"/>
    </xf>
    <xf numFmtId="8" fontId="6" fillId="0" borderId="1" xfId="0" applyNumberFormat="1" applyFont="1" applyBorder="1" applyProtection="1">
      <protection locked="0"/>
    </xf>
    <xf numFmtId="0" fontId="2" fillId="0" borderId="0" xfId="0" applyFont="1" applyAlignment="1">
      <alignment horizontal="center"/>
    </xf>
    <xf numFmtId="0" fontId="13" fillId="0" borderId="0" xfId="0" applyFont="1" applyAlignment="1">
      <alignment horizontal="center"/>
    </xf>
    <xf numFmtId="8" fontId="13" fillId="0" borderId="0" xfId="0" applyNumberFormat="1" applyFont="1" applyAlignment="1">
      <alignment horizontal="center"/>
    </xf>
    <xf numFmtId="0" fontId="3" fillId="0" borderId="0" xfId="0" applyFont="1" applyAlignment="1">
      <alignment horizontal="center"/>
    </xf>
    <xf numFmtId="0" fontId="9" fillId="0" borderId="0" xfId="0" applyFont="1"/>
    <xf numFmtId="165" fontId="3" fillId="0" borderId="0" xfId="0" applyNumberFormat="1" applyFont="1"/>
    <xf numFmtId="0" fontId="24" fillId="0" borderId="0" xfId="0" applyFont="1"/>
    <xf numFmtId="43" fontId="0" fillId="0" borderId="0" xfId="0" applyNumberFormat="1"/>
    <xf numFmtId="43" fontId="2" fillId="0" borderId="0" xfId="0" applyNumberFormat="1" applyFont="1"/>
    <xf numFmtId="2" fontId="6" fillId="0" borderId="1" xfId="0" applyNumberFormat="1" applyFont="1" applyBorder="1" applyProtection="1">
      <protection locked="0"/>
    </xf>
    <xf numFmtId="38" fontId="2" fillId="0" borderId="0" xfId="0" applyNumberFormat="1" applyFont="1" applyBorder="1" applyProtection="1"/>
    <xf numFmtId="0" fontId="1" fillId="0" borderId="0" xfId="0" applyFont="1"/>
    <xf numFmtId="8" fontId="4" fillId="0" borderId="0" xfId="0" applyNumberFormat="1" applyFont="1"/>
    <xf numFmtId="169" fontId="8" fillId="0" borderId="0" xfId="2" applyNumberFormat="1" applyFont="1"/>
    <xf numFmtId="164" fontId="3" fillId="0" borderId="0" xfId="0" applyNumberFormat="1" applyFont="1"/>
    <xf numFmtId="0" fontId="16" fillId="0" borderId="0" xfId="0" applyFont="1"/>
    <xf numFmtId="8" fontId="3" fillId="0" borderId="0" xfId="0" applyNumberFormat="1" applyFont="1" applyBorder="1" applyProtection="1"/>
    <xf numFmtId="0" fontId="3" fillId="0" borderId="9" xfId="0" applyFont="1" applyBorder="1"/>
    <xf numFmtId="0" fontId="0" fillId="0" borderId="10" xfId="0" applyBorder="1"/>
    <xf numFmtId="0" fontId="0" fillId="0" borderId="11" xfId="0" applyBorder="1"/>
    <xf numFmtId="0" fontId="3" fillId="0" borderId="2" xfId="0" applyFont="1" applyBorder="1"/>
    <xf numFmtId="0" fontId="3" fillId="0" borderId="12" xfId="0" applyFont="1" applyBorder="1"/>
    <xf numFmtId="0" fontId="2" fillId="0" borderId="2" xfId="0" applyFont="1" applyBorder="1"/>
    <xf numFmtId="38" fontId="13" fillId="0" borderId="12" xfId="0" applyNumberFormat="1" applyFont="1" applyBorder="1"/>
    <xf numFmtId="38" fontId="24" fillId="0" borderId="12" xfId="0" applyNumberFormat="1" applyFont="1" applyBorder="1"/>
    <xf numFmtId="8" fontId="24" fillId="0" borderId="12" xfId="0" applyNumberFormat="1" applyFont="1" applyBorder="1"/>
    <xf numFmtId="6" fontId="9" fillId="0" borderId="0" xfId="0" applyNumberFormat="1" applyFont="1"/>
    <xf numFmtId="8" fontId="13" fillId="0" borderId="12" xfId="0" applyNumberFormat="1" applyFont="1" applyBorder="1"/>
    <xf numFmtId="0" fontId="9" fillId="0" borderId="12" xfId="0" applyFont="1" applyBorder="1"/>
    <xf numFmtId="171" fontId="3" fillId="0" borderId="0" xfId="0" applyNumberFormat="1" applyFont="1"/>
    <xf numFmtId="0" fontId="3" fillId="0" borderId="0" xfId="0" applyFont="1" applyAlignment="1">
      <alignment horizontal="center"/>
    </xf>
    <xf numFmtId="1" fontId="2" fillId="0" borderId="0" xfId="0" applyNumberFormat="1" applyFont="1"/>
    <xf numFmtId="167" fontId="26" fillId="0" borderId="0" xfId="0" applyNumberFormat="1" applyFont="1"/>
    <xf numFmtId="43" fontId="3" fillId="0" borderId="0" xfId="1" applyFont="1"/>
    <xf numFmtId="38" fontId="2" fillId="0" borderId="7" xfId="0" applyNumberFormat="1" applyFont="1" applyBorder="1" applyProtection="1"/>
    <xf numFmtId="167" fontId="3" fillId="0" borderId="0" xfId="1" applyNumberFormat="1" applyFont="1"/>
    <xf numFmtId="8" fontId="0" fillId="0" borderId="0" xfId="0" applyNumberFormat="1" applyFill="1"/>
    <xf numFmtId="0" fontId="2" fillId="0" borderId="2" xfId="0" applyFont="1" applyFill="1" applyBorder="1"/>
    <xf numFmtId="1" fontId="0" fillId="0" borderId="0" xfId="0" applyNumberFormat="1"/>
    <xf numFmtId="164" fontId="2" fillId="0" borderId="0" xfId="2" applyNumberFormat="1" applyFont="1" applyBorder="1"/>
    <xf numFmtId="0" fontId="17" fillId="0" borderId="1" xfId="0" applyFont="1" applyBorder="1" applyProtection="1">
      <protection locked="0"/>
    </xf>
    <xf numFmtId="0" fontId="3" fillId="0" borderId="0" xfId="0" applyFont="1" applyBorder="1"/>
    <xf numFmtId="0" fontId="0" fillId="0" borderId="0" xfId="0" applyBorder="1"/>
    <xf numFmtId="38" fontId="9" fillId="0" borderId="0" xfId="0" applyNumberFormat="1" applyFont="1" applyBorder="1"/>
    <xf numFmtId="0" fontId="2" fillId="0" borderId="0" xfId="0" applyFont="1" applyBorder="1"/>
    <xf numFmtId="38" fontId="1" fillId="0" borderId="0" xfId="0" applyNumberFormat="1" applyFont="1" applyBorder="1"/>
    <xf numFmtId="6" fontId="0" fillId="0" borderId="0" xfId="0" applyNumberFormat="1" applyBorder="1"/>
    <xf numFmtId="8" fontId="0" fillId="0" borderId="0" xfId="0" applyNumberFormat="1" applyBorder="1"/>
    <xf numFmtId="6" fontId="9" fillId="0" borderId="0" xfId="0" applyNumberFormat="1" applyFont="1" applyBorder="1"/>
    <xf numFmtId="8" fontId="9" fillId="0" borderId="0" xfId="0" applyNumberFormat="1" applyFont="1" applyBorder="1"/>
    <xf numFmtId="38" fontId="3" fillId="0" borderId="0" xfId="0" applyNumberFormat="1" applyFont="1" applyBorder="1"/>
    <xf numFmtId="0" fontId="24" fillId="0" borderId="0" xfId="0" applyFont="1" applyBorder="1"/>
    <xf numFmtId="0" fontId="0" fillId="0" borderId="13" xfId="0" applyBorder="1"/>
    <xf numFmtId="0" fontId="3" fillId="0" borderId="14" xfId="0" applyFont="1" applyBorder="1"/>
    <xf numFmtId="0" fontId="3" fillId="0" borderId="8" xfId="0" applyFont="1" applyBorder="1"/>
    <xf numFmtId="0" fontId="3" fillId="0" borderId="10" xfId="0" applyFont="1" applyBorder="1" applyAlignment="1">
      <alignment horizontal="center"/>
    </xf>
    <xf numFmtId="164" fontId="3" fillId="0" borderId="14" xfId="2" applyNumberFormat="1" applyFont="1" applyBorder="1"/>
    <xf numFmtId="0" fontId="25" fillId="0" borderId="4" xfId="0" applyFont="1" applyBorder="1" applyAlignment="1" applyProtection="1">
      <alignment horizontal="left"/>
      <protection locked="0"/>
    </xf>
    <xf numFmtId="0" fontId="25" fillId="0" borderId="7" xfId="0" applyFont="1" applyBorder="1" applyAlignment="1" applyProtection="1">
      <alignment horizontal="left"/>
      <protection locked="0"/>
    </xf>
    <xf numFmtId="0" fontId="25" fillId="0" borderId="5"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3" fillId="0" borderId="0" xfId="0" applyFont="1" applyAlignment="1">
      <alignment horizontal="center"/>
    </xf>
    <xf numFmtId="0" fontId="0" fillId="0" borderId="0" xfId="0" applyAlignment="1">
      <alignment horizontal="center"/>
    </xf>
    <xf numFmtId="166" fontId="17" fillId="0" borderId="4" xfId="0" applyNumberFormat="1"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CCFFCC"/>
      <color rgb="FF0000FF"/>
      <color rgb="FF4206BA"/>
      <color rgb="FF101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Costs and Target</a:t>
            </a:r>
            <a:r>
              <a:rPr lang="en-US" baseline="0"/>
              <a:t> Margin - </a:t>
            </a:r>
            <a:r>
              <a:rPr lang="en-US"/>
              <a:t> Percent by Item per Head</a:t>
            </a:r>
          </a:p>
        </c:rich>
      </c:tx>
      <c:layout>
        <c:manualLayout>
          <c:xMode val="edge"/>
          <c:yMode val="edge"/>
          <c:x val="0.13128469658890721"/>
          <c:y val="2.566512337900362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666708002709577"/>
          <c:y val="0.46537459067503284"/>
          <c:w val="0.27460360026599745"/>
          <c:h val="0.1911359925986742"/>
        </c:manualLayout>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523-4208-AD8B-342292186ED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523-4208-AD8B-342292186ED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0523-4208-AD8B-342292186ED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0523-4208-AD8B-342292186ED6}"/>
              </c:ext>
            </c:extLst>
          </c:dPt>
          <c:dLbls>
            <c:dLbl>
              <c:idx val="2"/>
              <c:layout>
                <c:manualLayout>
                  <c:x val="7.7700699806411547E-2"/>
                  <c:y val="-3.98419471674276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523-4208-AD8B-342292186ED6}"/>
                </c:ext>
              </c:extLst>
            </c:dLbl>
            <c:numFmt formatCode="0%" sourceLinked="0"/>
            <c:spPr>
              <a:noFill/>
              <a:ln w="25400">
                <a:noFill/>
              </a:ln>
            </c:spPr>
            <c:txPr>
              <a:bodyPr wrap="square" lIns="38100" tIns="19050" rIns="38100" bIns="19050" anchor="ctr">
                <a:spAutoFit/>
              </a:bodyPr>
              <a:lstStyle/>
              <a:p>
                <a:pPr>
                  <a:defRPr sz="1025"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'2. Graphs '!$C$49:$C$51</c:f>
              <c:strCache>
                <c:ptCount val="3"/>
                <c:pt idx="0">
                  <c:v>Cost of Feeder</c:v>
                </c:pt>
                <c:pt idx="1">
                  <c:v>Cost of Gain </c:v>
                </c:pt>
                <c:pt idx="2">
                  <c:v>Target Margin</c:v>
                </c:pt>
              </c:strCache>
            </c:strRef>
          </c:cat>
          <c:val>
            <c:numRef>
              <c:f>'2. Graphs '!$D$49:$D$51</c:f>
              <c:numCache>
                <c:formatCode>"$"#,##0</c:formatCode>
                <c:ptCount val="3"/>
                <c:pt idx="0">
                  <c:v>722.16666666666663</c:v>
                </c:pt>
                <c:pt idx="1">
                  <c:v>1032.5553003161224</c:v>
                </c:pt>
                <c:pt idx="2">
                  <c:v>40</c:v>
                </c:pt>
              </c:numCache>
            </c:numRef>
          </c:val>
          <c:extLst>
            <c:ext xmlns:c16="http://schemas.microsoft.com/office/drawing/2014/chart" uri="{C3380CC4-5D6E-409C-BE32-E72D297353CC}">
              <c16:uniqueId val="{00000007-0523-4208-AD8B-342292186ED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0524043221646602"/>
          <c:y val="0.44873732408621325"/>
          <c:w val="0.17554590767408856"/>
          <c:h val="0.25111459526678825"/>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baseline="0">
                <a:solidFill>
                  <a:schemeClr val="dk1">
                    <a:lumMod val="65000"/>
                    <a:lumOff val="35000"/>
                  </a:schemeClr>
                </a:solidFill>
                <a:effectLst/>
                <a:latin typeface="Arial Black" panose="020B0A04020102020204" pitchFamily="34" charset="0"/>
                <a:ea typeface="+mn-ea"/>
                <a:cs typeface="+mn-cs"/>
              </a:defRPr>
            </a:pPr>
            <a:r>
              <a:rPr lang="en-US" sz="1400" b="1">
                <a:latin typeface="Arial Black" panose="020B0A04020102020204" pitchFamily="34" charset="0"/>
              </a:rPr>
              <a:t>Income, Costs, and Income - $/Head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65000"/>
                  <a:lumOff val="35000"/>
                </a:schemeClr>
              </a:solidFill>
              <a:effectLst/>
              <a:latin typeface="Arial Black" panose="020B0A04020102020204" pitchFamily="34" charset="0"/>
              <a:ea typeface="+mn-ea"/>
              <a:cs typeface="+mn-cs"/>
            </a:defRPr>
          </a:pPr>
          <a:endParaRPr lang="en-US"/>
        </a:p>
      </c:txPr>
    </c:title>
    <c:autoTitleDeleted val="0"/>
    <c:plotArea>
      <c:layout>
        <c:manualLayout>
          <c:layoutTarget val="inner"/>
          <c:xMode val="edge"/>
          <c:yMode val="edge"/>
          <c:x val="0.1220255905511811"/>
          <c:y val="0.17634259259259263"/>
          <c:w val="0.85297440944881886"/>
          <c:h val="0.77736111111111106"/>
        </c:manualLayout>
      </c:layout>
      <c:barChart>
        <c:barDir val="col"/>
        <c:grouping val="clustered"/>
        <c:varyColors val="0"/>
        <c:ser>
          <c:idx val="0"/>
          <c:order val="0"/>
          <c:tx>
            <c:strRef>
              <c:f>'2. Graphs '!$J$14</c:f>
              <c:strCache>
                <c:ptCount val="1"/>
                <c:pt idx="0">
                  <c:v> $/Head</c:v>
                </c:pt>
              </c:strCache>
            </c:strRef>
          </c:tx>
          <c:spPr>
            <a:gradFill>
              <a:gsLst>
                <a:gs pos="0">
                  <a:schemeClr val="accent3"/>
                </a:gs>
                <a:gs pos="100000">
                  <a:schemeClr val="accent3">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Black" panose="020B0A040201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 Graphs '!$K$13:$N$13</c:f>
              <c:strCache>
                <c:ptCount val="4"/>
                <c:pt idx="0">
                  <c:v>Income</c:v>
                </c:pt>
                <c:pt idx="1">
                  <c:v>Feeder Cost</c:v>
                </c:pt>
                <c:pt idx="2">
                  <c:v>Cost 0f Gain</c:v>
                </c:pt>
                <c:pt idx="3">
                  <c:v>Net Income</c:v>
                </c:pt>
              </c:strCache>
            </c:strRef>
          </c:cat>
          <c:val>
            <c:numRef>
              <c:f>'2. Graphs '!$K$14:$N$14</c:f>
              <c:numCache>
                <c:formatCode>"$"#,##0_);[Red]\("$"#,##0\)</c:formatCode>
                <c:ptCount val="4"/>
                <c:pt idx="0">
                  <c:v>1719.2395833333333</c:v>
                </c:pt>
                <c:pt idx="1">
                  <c:v>722.16666666666663</c:v>
                </c:pt>
                <c:pt idx="2">
                  <c:v>1072.5553003161224</c:v>
                </c:pt>
                <c:pt idx="3">
                  <c:v>-75.482383649455755</c:v>
                </c:pt>
              </c:numCache>
            </c:numRef>
          </c:val>
          <c:extLst>
            <c:ext xmlns:c16="http://schemas.microsoft.com/office/drawing/2014/chart" uri="{C3380CC4-5D6E-409C-BE32-E72D297353CC}">
              <c16:uniqueId val="{00000000-531F-44B1-B0FE-DD82DA58ADED}"/>
            </c:ext>
          </c:extLst>
        </c:ser>
        <c:dLbls>
          <c:dLblPos val="inEnd"/>
          <c:showLegendKey val="0"/>
          <c:showVal val="1"/>
          <c:showCatName val="0"/>
          <c:showSerName val="0"/>
          <c:showPercent val="0"/>
          <c:showBubbleSize val="0"/>
        </c:dLbls>
        <c:gapWidth val="41"/>
        <c:axId val="659769072"/>
        <c:axId val="659769728"/>
      </c:barChart>
      <c:catAx>
        <c:axId val="6597690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Arial Black" panose="020B0A04020102020204" pitchFamily="34" charset="0"/>
                <a:ea typeface="+mn-ea"/>
                <a:cs typeface="+mn-cs"/>
              </a:defRPr>
            </a:pPr>
            <a:endParaRPr lang="en-US"/>
          </a:p>
        </c:txPr>
        <c:crossAx val="659769728"/>
        <c:crosses val="autoZero"/>
        <c:auto val="1"/>
        <c:lblAlgn val="ctr"/>
        <c:lblOffset val="100"/>
        <c:noMultiLvlLbl val="0"/>
      </c:catAx>
      <c:valAx>
        <c:axId val="659769728"/>
        <c:scaling>
          <c:orientation val="minMax"/>
        </c:scaling>
        <c:delete val="1"/>
        <c:axPos val="l"/>
        <c:numFmt formatCode="&quot;$&quot;#,##0_);[Red]\(&quot;$&quot;#,##0\)" sourceLinked="1"/>
        <c:majorTickMark val="none"/>
        <c:minorTickMark val="none"/>
        <c:tickLblPos val="nextTo"/>
        <c:crossAx val="65976907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179615</xdr:rowOff>
    </xdr:from>
    <xdr:to>
      <xdr:col>8</xdr:col>
      <xdr:colOff>747650</xdr:colOff>
      <xdr:row>3</xdr:row>
      <xdr:rowOff>10886</xdr:rowOff>
    </xdr:to>
    <xdr:pic>
      <xdr:nvPicPr>
        <xdr:cNvPr id="2" name="Picture 1" descr="TAMAgEXT">
          <a:extLst>
            <a:ext uri="{FF2B5EF4-FFF2-40B4-BE49-F238E27FC236}">
              <a16:creationId xmlns:a16="http://schemas.microsoft.com/office/drawing/2014/main" id="{F28D22FD-F4EF-425C-A2C3-63379CA517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7086" y="179615"/>
          <a:ext cx="1504207"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70758</xdr:colOff>
      <xdr:row>22</xdr:row>
      <xdr:rowOff>87084</xdr:rowOff>
    </xdr:from>
    <xdr:to>
      <xdr:col>7</xdr:col>
      <xdr:colOff>598714</xdr:colOff>
      <xdr:row>42</xdr:row>
      <xdr:rowOff>125186</xdr:rowOff>
    </xdr:to>
    <xdr:graphicFrame macro="">
      <xdr:nvGraphicFramePr>
        <xdr:cNvPr id="3" name="Chart 2">
          <a:extLst>
            <a:ext uri="{FF2B5EF4-FFF2-40B4-BE49-F238E27FC236}">
              <a16:creationId xmlns:a16="http://schemas.microsoft.com/office/drawing/2014/main" id="{69A53761-FFC8-42EE-B9B3-D7A20E794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32657</xdr:colOff>
      <xdr:row>1</xdr:row>
      <xdr:rowOff>78920</xdr:rowOff>
    </xdr:from>
    <xdr:to>
      <xdr:col>7</xdr:col>
      <xdr:colOff>555172</xdr:colOff>
      <xdr:row>20</xdr:row>
      <xdr:rowOff>152399</xdr:rowOff>
    </xdr:to>
    <xdr:graphicFrame macro="">
      <xdr:nvGraphicFramePr>
        <xdr:cNvPr id="4" name="Chart 3">
          <a:extLst>
            <a:ext uri="{FF2B5EF4-FFF2-40B4-BE49-F238E27FC236}">
              <a16:creationId xmlns:a16="http://schemas.microsoft.com/office/drawing/2014/main" id="{E8E4163F-FF16-48C4-AD9C-0138967941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78"/>
  <sheetViews>
    <sheetView tabSelected="1" topLeftCell="A13" zoomScaleNormal="100" workbookViewId="0">
      <selection activeCell="D5" sqref="D5"/>
    </sheetView>
  </sheetViews>
  <sheetFormatPr defaultRowHeight="12.45" x14ac:dyDescent="0.3"/>
  <cols>
    <col min="1" max="1" width="4.84375" customWidth="1"/>
    <col min="2" max="2" width="37.921875" customWidth="1"/>
    <col min="3" max="3" width="14.61328125" customWidth="1"/>
    <col min="4" max="4" width="13.61328125" customWidth="1"/>
    <col min="5" max="5" width="12.69140625" customWidth="1"/>
    <col min="6" max="6" width="13.3828125" customWidth="1"/>
    <col min="7" max="7" width="12.23046875" customWidth="1"/>
    <col min="8" max="8" width="10.84375" bestFit="1" customWidth="1"/>
    <col min="9" max="9" width="12.61328125" customWidth="1"/>
    <col min="10" max="10" width="10.84375" customWidth="1"/>
    <col min="11" max="11" width="11.53515625" customWidth="1"/>
    <col min="12" max="12" width="30.84375" customWidth="1"/>
    <col min="13" max="13" width="12" customWidth="1"/>
    <col min="14" max="14" width="12.3046875" customWidth="1"/>
    <col min="15" max="15" width="13.61328125" customWidth="1"/>
  </cols>
  <sheetData>
    <row r="1" spans="2:14" ht="15.45" x14ac:dyDescent="0.4">
      <c r="B1" s="149" t="s">
        <v>76</v>
      </c>
      <c r="C1" s="149"/>
      <c r="D1" s="149"/>
      <c r="E1" s="149"/>
      <c r="F1" s="150"/>
      <c r="G1" s="50"/>
      <c r="H1" s="4"/>
    </row>
    <row r="2" spans="2:14" ht="15.45" x14ac:dyDescent="0.4">
      <c r="B2" s="82"/>
      <c r="C2" s="83"/>
      <c r="D2" s="83"/>
      <c r="E2" s="83"/>
      <c r="F2" s="83"/>
      <c r="G2" s="4"/>
      <c r="H2" s="4"/>
      <c r="L2" s="1" t="s">
        <v>97</v>
      </c>
      <c r="M2" s="21">
        <f>-E15</f>
        <v>-96</v>
      </c>
    </row>
    <row r="3" spans="2:14" ht="15.45" x14ac:dyDescent="0.4">
      <c r="B3" s="146" t="s">
        <v>82</v>
      </c>
      <c r="C3" s="147"/>
      <c r="D3" s="147"/>
      <c r="E3" s="148"/>
      <c r="F3" s="23"/>
      <c r="G3" s="23"/>
      <c r="H3" s="23"/>
      <c r="L3" s="2" t="s">
        <v>19</v>
      </c>
      <c r="N3" t="s">
        <v>18</v>
      </c>
    </row>
    <row r="4" spans="2:14" ht="15.45" x14ac:dyDescent="0.4">
      <c r="F4" s="4" t="s">
        <v>6</v>
      </c>
      <c r="H4" t="s">
        <v>133</v>
      </c>
      <c r="L4" s="30" t="s">
        <v>20</v>
      </c>
      <c r="M4" s="98">
        <f>F22/E15</f>
        <v>1719.2395833333333</v>
      </c>
      <c r="N4" s="78">
        <f>M4/$M$14</f>
        <v>0.95794201829693226</v>
      </c>
    </row>
    <row r="5" spans="2:14" ht="15" x14ac:dyDescent="0.35">
      <c r="B5" s="1" t="s">
        <v>95</v>
      </c>
      <c r="C5" s="54">
        <v>44137</v>
      </c>
      <c r="D5" s="51"/>
      <c r="E5" s="22">
        <f>C11+C5</f>
        <v>44454.948717948719</v>
      </c>
      <c r="F5" s="29">
        <v>100</v>
      </c>
      <c r="G5" s="1"/>
      <c r="L5" s="1" t="s">
        <v>29</v>
      </c>
      <c r="M5" s="98">
        <f>F8/E15</f>
        <v>722.16666666666663</v>
      </c>
      <c r="N5" s="78">
        <f>M5/$M$14</f>
        <v>0.40238358918665423</v>
      </c>
    </row>
    <row r="6" spans="2:14" ht="15.45" x14ac:dyDescent="0.4">
      <c r="B6" s="1" t="s">
        <v>10</v>
      </c>
      <c r="C6" s="151" t="s">
        <v>129</v>
      </c>
      <c r="D6" s="152"/>
      <c r="E6" s="153"/>
      <c r="F6" s="26" t="s">
        <v>7</v>
      </c>
      <c r="G6" s="26"/>
      <c r="H6" s="124">
        <f>E5-C5</f>
        <v>317.94871794871869</v>
      </c>
      <c r="I6" s="97" t="s">
        <v>138</v>
      </c>
      <c r="L6" s="1" t="s">
        <v>57</v>
      </c>
      <c r="M6" s="98">
        <f>F27/E15</f>
        <v>961</v>
      </c>
      <c r="N6" s="78">
        <f>M6/$M$14</f>
        <v>0.53545898344109122</v>
      </c>
    </row>
    <row r="7" spans="2:14" ht="15.45" x14ac:dyDescent="0.4">
      <c r="B7" s="1" t="s">
        <v>105</v>
      </c>
      <c r="C7" s="55">
        <v>400</v>
      </c>
      <c r="D7" s="5"/>
      <c r="E7" s="4" t="s">
        <v>0</v>
      </c>
      <c r="F7" s="121">
        <f>C7*F5</f>
        <v>40000</v>
      </c>
      <c r="G7" s="31"/>
      <c r="L7" s="1" t="s">
        <v>30</v>
      </c>
      <c r="M7" s="58">
        <f>F28/E15</f>
        <v>20.833333333333332</v>
      </c>
      <c r="N7" s="78">
        <f>M7/$M$14</f>
        <v>1.1608111850526605E-2</v>
      </c>
    </row>
    <row r="8" spans="2:14" ht="15.45" x14ac:dyDescent="0.4">
      <c r="B8" s="1" t="s">
        <v>106</v>
      </c>
      <c r="C8" s="79">
        <v>173.32</v>
      </c>
      <c r="D8" s="24"/>
      <c r="E8" s="8">
        <f>C8*C7*0.01</f>
        <v>693.28</v>
      </c>
      <c r="F8" s="13">
        <f>E8*F5</f>
        <v>69328</v>
      </c>
      <c r="G8" s="13"/>
      <c r="H8" s="15" t="s">
        <v>71</v>
      </c>
      <c r="L8" s="1" t="s">
        <v>21</v>
      </c>
      <c r="M8" s="58">
        <f>F32/E15</f>
        <v>50.721966982788906</v>
      </c>
      <c r="N8" s="99">
        <f>M8/$M$14</f>
        <v>2.8261740768716691E-2</v>
      </c>
    </row>
    <row r="9" spans="2:14" ht="15.45" x14ac:dyDescent="0.4">
      <c r="B9" s="1" t="s">
        <v>107</v>
      </c>
      <c r="C9" s="120">
        <f>H9</f>
        <v>1510.4166666666667</v>
      </c>
      <c r="D9" s="94" t="s">
        <v>96</v>
      </c>
      <c r="E9" s="42" t="s">
        <v>23</v>
      </c>
      <c r="F9" s="13"/>
      <c r="H9" s="119">
        <f>1450/(1-C12*0.01)</f>
        <v>1510.4166666666667</v>
      </c>
      <c r="I9" s="97" t="s">
        <v>136</v>
      </c>
      <c r="L9" s="1"/>
      <c r="M9" s="35"/>
      <c r="N9" s="59"/>
    </row>
    <row r="10" spans="2:14" ht="15.45" x14ac:dyDescent="0.4">
      <c r="B10" s="2" t="s">
        <v>108</v>
      </c>
      <c r="C10" s="95">
        <v>3.12</v>
      </c>
      <c r="D10" s="31">
        <f>(C9*(100-C12)*0.01)</f>
        <v>1450</v>
      </c>
      <c r="E10" s="115">
        <f>D10-C7</f>
        <v>1050</v>
      </c>
      <c r="F10" s="42"/>
      <c r="G10" s="13"/>
      <c r="H10" s="15" t="s">
        <v>72</v>
      </c>
      <c r="L10" s="1"/>
      <c r="M10" s="35"/>
      <c r="N10" s="59"/>
    </row>
    <row r="11" spans="2:14" ht="15.45" x14ac:dyDescent="0.4">
      <c r="B11" s="2" t="s">
        <v>109</v>
      </c>
      <c r="C11" s="28">
        <f>((C15-C7)/C10)</f>
        <v>317.94871794871796</v>
      </c>
      <c r="G11" s="13"/>
      <c r="H11" s="15"/>
      <c r="L11" s="1"/>
      <c r="M11" s="35"/>
      <c r="N11" s="59"/>
    </row>
    <row r="12" spans="2:14" ht="15.45" x14ac:dyDescent="0.4">
      <c r="B12" s="2" t="s">
        <v>113</v>
      </c>
      <c r="C12" s="56">
        <v>4</v>
      </c>
      <c r="E12" s="36" t="s">
        <v>104</v>
      </c>
      <c r="F12" s="93"/>
      <c r="H12" s="31">
        <f>D10-C7</f>
        <v>1050</v>
      </c>
      <c r="I12" t="s">
        <v>131</v>
      </c>
      <c r="L12" s="1" t="s">
        <v>88</v>
      </c>
      <c r="M12" s="11">
        <f>E33</f>
        <v>1032.5553003161224</v>
      </c>
      <c r="N12" s="59"/>
    </row>
    <row r="13" spans="2:14" ht="15" x14ac:dyDescent="0.35">
      <c r="B13" s="1" t="s">
        <v>5</v>
      </c>
      <c r="C13" s="56">
        <v>4</v>
      </c>
      <c r="E13" s="75">
        <f>C13*F5*0.01</f>
        <v>4</v>
      </c>
      <c r="H13" s="19"/>
      <c r="L13" s="1" t="s">
        <v>15</v>
      </c>
      <c r="M13" s="98">
        <f>E34</f>
        <v>40</v>
      </c>
      <c r="N13" s="38">
        <f>M13/$M$14</f>
        <v>2.2287574753011082E-2</v>
      </c>
    </row>
    <row r="14" spans="2:14" ht="15.45" x14ac:dyDescent="0.4">
      <c r="B14" s="101"/>
      <c r="C14" s="36" t="s">
        <v>84</v>
      </c>
      <c r="D14" s="24"/>
      <c r="E14" s="36" t="s">
        <v>98</v>
      </c>
      <c r="F14" s="87" t="s">
        <v>94</v>
      </c>
      <c r="G14" s="28"/>
      <c r="H14" s="19"/>
      <c r="L14" s="2" t="s">
        <v>16</v>
      </c>
      <c r="M14" s="8">
        <f>M5+M12+M13</f>
        <v>1794.7219669827891</v>
      </c>
      <c r="N14" s="38">
        <f>M14/$M$14</f>
        <v>1</v>
      </c>
    </row>
    <row r="15" spans="2:14" ht="15.45" x14ac:dyDescent="0.4">
      <c r="B15" s="1" t="s">
        <v>81</v>
      </c>
      <c r="C15" s="96">
        <f>D10*(1-C12*0.01)</f>
        <v>1392</v>
      </c>
      <c r="D15" s="5"/>
      <c r="E15" s="28">
        <f>F5-E13</f>
        <v>96</v>
      </c>
      <c r="F15" s="27">
        <f>E15*D10</f>
        <v>139200</v>
      </c>
      <c r="G15" s="27"/>
    </row>
    <row r="16" spans="2:14" ht="15.45" x14ac:dyDescent="0.4">
      <c r="B16" s="2"/>
      <c r="C16" s="87" t="s">
        <v>83</v>
      </c>
      <c r="D16" s="92"/>
      <c r="E16" s="87" t="s">
        <v>84</v>
      </c>
      <c r="F16" s="87" t="s">
        <v>94</v>
      </c>
      <c r="G16" s="27"/>
      <c r="L16" s="2" t="s">
        <v>17</v>
      </c>
      <c r="M16" s="8">
        <f>M4-M14</f>
        <v>-75.482383649455869</v>
      </c>
      <c r="N16" s="38">
        <f>M16/$M$14</f>
        <v>-4.205798170306773E-2</v>
      </c>
    </row>
    <row r="17" spans="2:15" ht="15.45" x14ac:dyDescent="0.4">
      <c r="B17" s="2" t="s">
        <v>93</v>
      </c>
      <c r="C17" s="33">
        <f>C15-C7</f>
        <v>992</v>
      </c>
      <c r="E17" s="94">
        <f>F17/E15</f>
        <v>1033.3333333333333</v>
      </c>
      <c r="F17" s="32">
        <f>F15-F7</f>
        <v>99200</v>
      </c>
      <c r="G17" s="27"/>
      <c r="H17" s="97" t="s">
        <v>99</v>
      </c>
    </row>
    <row r="18" spans="2:15" ht="15.45" x14ac:dyDescent="0.4">
      <c r="B18" s="2"/>
      <c r="C18" s="36"/>
      <c r="E18" s="32"/>
      <c r="F18" s="32"/>
      <c r="G18" s="27"/>
      <c r="H18" s="15"/>
    </row>
    <row r="19" spans="2:15" ht="15.45" x14ac:dyDescent="0.4">
      <c r="B19" s="2" t="s">
        <v>111</v>
      </c>
      <c r="C19" s="80">
        <v>119</v>
      </c>
      <c r="D19" s="36" t="s">
        <v>112</v>
      </c>
      <c r="E19" s="32"/>
      <c r="F19" s="32"/>
      <c r="G19" s="27"/>
      <c r="L19" s="2" t="s">
        <v>14</v>
      </c>
    </row>
    <row r="20" spans="2:15" ht="15.45" x14ac:dyDescent="0.4">
      <c r="B20" s="2" t="s">
        <v>114</v>
      </c>
      <c r="C20" s="80">
        <v>6.01</v>
      </c>
      <c r="D20" s="58">
        <f>(C20/C15)*100</f>
        <v>0.4317528735632184</v>
      </c>
      <c r="E20" s="11"/>
      <c r="F20" s="118"/>
      <c r="G20" s="27"/>
      <c r="H20" s="90" t="s">
        <v>101</v>
      </c>
      <c r="L20" s="1" t="s">
        <v>55</v>
      </c>
    </row>
    <row r="21" spans="2:15" ht="15.45" x14ac:dyDescent="0.4">
      <c r="B21" s="1"/>
      <c r="C21" s="36" t="s">
        <v>69</v>
      </c>
      <c r="E21" s="36" t="s">
        <v>8</v>
      </c>
      <c r="F21" s="2" t="s">
        <v>100</v>
      </c>
      <c r="H21" s="20"/>
      <c r="L21" s="1" t="s">
        <v>28</v>
      </c>
    </row>
    <row r="22" spans="2:15" ht="15.45" x14ac:dyDescent="0.4">
      <c r="B22" s="2" t="s">
        <v>85</v>
      </c>
      <c r="C22" s="102">
        <f>C19-D20</f>
        <v>118.56824712643679</v>
      </c>
      <c r="D22" s="37"/>
      <c r="E22" s="13">
        <f>F22/E15</f>
        <v>1719.2395833333333</v>
      </c>
      <c r="F22" s="13">
        <f>C22*D10*E15*0.01</f>
        <v>165047</v>
      </c>
      <c r="G22" s="13"/>
      <c r="H22" s="112"/>
      <c r="L22" s="1" t="s">
        <v>32</v>
      </c>
    </row>
    <row r="23" spans="2:15" ht="15" x14ac:dyDescent="0.35">
      <c r="B23" s="1"/>
      <c r="C23" s="6"/>
      <c r="D23" s="7"/>
      <c r="E23" s="12"/>
      <c r="F23" s="12"/>
      <c r="G23" s="12"/>
      <c r="L23" s="1" t="s">
        <v>11</v>
      </c>
    </row>
    <row r="24" spans="2:15" ht="15.45" x14ac:dyDescent="0.4">
      <c r="B24" s="2" t="s">
        <v>142</v>
      </c>
      <c r="C24" s="7">
        <f>C22-C8</f>
        <v>-54.751752873563206</v>
      </c>
      <c r="D24" s="7"/>
      <c r="E24" s="6"/>
      <c r="F24" s="6"/>
      <c r="G24" s="6"/>
      <c r="L24" s="1" t="s">
        <v>41</v>
      </c>
    </row>
    <row r="25" spans="2:15" ht="15.45" x14ac:dyDescent="0.4">
      <c r="B25" s="2" t="s">
        <v>73</v>
      </c>
      <c r="C25" s="9"/>
      <c r="D25" s="9"/>
      <c r="L25" s="1" t="s">
        <v>13</v>
      </c>
    </row>
    <row r="26" spans="2:15" ht="15.45" x14ac:dyDescent="0.4">
      <c r="B26" s="3"/>
      <c r="C26" s="26" t="s">
        <v>34</v>
      </c>
      <c r="D26" s="8" t="s">
        <v>135</v>
      </c>
      <c r="E26" s="116" t="s">
        <v>134</v>
      </c>
      <c r="F26" s="26" t="s">
        <v>7</v>
      </c>
      <c r="G26" s="26"/>
      <c r="L26" s="1" t="s">
        <v>33</v>
      </c>
    </row>
    <row r="27" spans="2:15" ht="15.45" x14ac:dyDescent="0.4">
      <c r="B27" s="1" t="s">
        <v>62</v>
      </c>
      <c r="C27" s="85">
        <v>0.93</v>
      </c>
      <c r="D27" s="117">
        <f>C17</f>
        <v>992</v>
      </c>
      <c r="E27" s="10">
        <f>C27*D27</f>
        <v>922.56000000000006</v>
      </c>
      <c r="F27" s="10">
        <f>E27*F5</f>
        <v>92256</v>
      </c>
      <c r="G27" s="26"/>
      <c r="H27" s="15" t="s">
        <v>63</v>
      </c>
      <c r="L27" s="10" t="s">
        <v>12</v>
      </c>
    </row>
    <row r="28" spans="2:15" ht="15.45" x14ac:dyDescent="0.4">
      <c r="B28" s="1" t="s">
        <v>86</v>
      </c>
      <c r="C28" s="81">
        <f>E28/E10</f>
        <v>1.9047619047619049E-2</v>
      </c>
      <c r="D28" s="40"/>
      <c r="E28" s="84">
        <v>20</v>
      </c>
      <c r="F28" s="10">
        <f>E28*F5</f>
        <v>2000</v>
      </c>
      <c r="G28" s="26"/>
      <c r="H28" s="15" t="s">
        <v>64</v>
      </c>
    </row>
    <row r="29" spans="2:15" ht="15.45" x14ac:dyDescent="0.4">
      <c r="B29" s="76" t="s">
        <v>65</v>
      </c>
      <c r="D29" s="8"/>
      <c r="E29" s="13"/>
      <c r="F29" s="13"/>
      <c r="G29" s="10"/>
      <c r="L29" s="103" t="s">
        <v>115</v>
      </c>
      <c r="M29" s="104"/>
      <c r="N29" s="104"/>
      <c r="O29" s="105"/>
    </row>
    <row r="30" spans="2:15" ht="15.45" x14ac:dyDescent="0.4">
      <c r="B30" s="2" t="s">
        <v>141</v>
      </c>
      <c r="C30" s="29">
        <v>5</v>
      </c>
      <c r="D30" s="13" t="s">
        <v>139</v>
      </c>
      <c r="E30" s="126">
        <v>100</v>
      </c>
      <c r="F30" s="13" t="s">
        <v>128</v>
      </c>
      <c r="G30" s="10"/>
      <c r="H30" t="s">
        <v>43</v>
      </c>
      <c r="L30" s="106" t="s">
        <v>116</v>
      </c>
      <c r="M30" s="127" t="s">
        <v>117</v>
      </c>
      <c r="N30" s="127" t="s">
        <v>132</v>
      </c>
      <c r="O30" s="107" t="s">
        <v>118</v>
      </c>
    </row>
    <row r="31" spans="2:15" ht="15.45" x14ac:dyDescent="0.4">
      <c r="B31" s="2"/>
      <c r="C31" s="26" t="s">
        <v>35</v>
      </c>
      <c r="D31" s="13"/>
      <c r="E31" s="141" t="s">
        <v>134</v>
      </c>
      <c r="F31" s="13"/>
      <c r="G31" s="10"/>
      <c r="L31" s="106"/>
      <c r="M31" s="127"/>
      <c r="N31" s="127"/>
      <c r="O31" s="107"/>
    </row>
    <row r="32" spans="2:15" ht="15.45" x14ac:dyDescent="0.4">
      <c r="B32" s="2" t="s">
        <v>140</v>
      </c>
      <c r="C32" s="8">
        <f>E32/$E$10</f>
        <v>4.8306635221703718E-2</v>
      </c>
      <c r="E32" s="125">
        <f>O40*E30*0.01</f>
        <v>50.721966982788906</v>
      </c>
      <c r="F32" s="10">
        <f>E32*$E$15</f>
        <v>4869.3088303477352</v>
      </c>
      <c r="G32" s="10"/>
      <c r="L32" s="106"/>
      <c r="M32" s="127"/>
      <c r="N32" s="127"/>
      <c r="O32" s="107"/>
    </row>
    <row r="33" spans="2:15" ht="15.45" x14ac:dyDescent="0.4">
      <c r="B33" s="2" t="s">
        <v>31</v>
      </c>
      <c r="C33" s="8">
        <f>E33/$E$10</f>
        <v>0.98338600030106893</v>
      </c>
      <c r="D33" s="57"/>
      <c r="E33" s="142">
        <f>F33/E15</f>
        <v>1032.5553003161224</v>
      </c>
      <c r="F33" s="13">
        <f>SUM(F27:F32)</f>
        <v>99125.308830347742</v>
      </c>
      <c r="G33" s="10"/>
      <c r="H33" s="1" t="s">
        <v>27</v>
      </c>
      <c r="I33" s="52">
        <f>F33/F17</f>
        <v>0.99924706482205383</v>
      </c>
      <c r="L33" s="108" t="s">
        <v>119</v>
      </c>
      <c r="M33" s="128"/>
      <c r="N33" s="129">
        <f>F5</f>
        <v>100</v>
      </c>
      <c r="O33" s="109">
        <f>C11</f>
        <v>317.94871794871796</v>
      </c>
    </row>
    <row r="34" spans="2:15" ht="15.45" x14ac:dyDescent="0.4">
      <c r="B34" s="1" t="s">
        <v>56</v>
      </c>
      <c r="C34" s="8">
        <f>E34/$E$10</f>
        <v>3.8095238095238099E-2</v>
      </c>
      <c r="E34" s="53">
        <v>40</v>
      </c>
      <c r="F34" s="34">
        <f>E34*E15</f>
        <v>3840</v>
      </c>
      <c r="G34" s="34"/>
      <c r="H34" s="15" t="s">
        <v>75</v>
      </c>
      <c r="L34" s="106" t="s">
        <v>120</v>
      </c>
      <c r="M34" s="130" t="s">
        <v>137</v>
      </c>
      <c r="N34" s="131" t="s">
        <v>121</v>
      </c>
      <c r="O34" s="110" t="s">
        <v>122</v>
      </c>
    </row>
    <row r="35" spans="2:15" ht="15.45" x14ac:dyDescent="0.4">
      <c r="B35" s="16" t="s">
        <v>22</v>
      </c>
      <c r="E35" s="17">
        <f>((F34/F5)/G35)</f>
        <v>3.7853421588549568E-2</v>
      </c>
      <c r="G35" s="35">
        <f>O38</f>
        <v>1014.4393396557781</v>
      </c>
      <c r="H35" s="15" t="s">
        <v>9</v>
      </c>
      <c r="L35" s="108" t="s">
        <v>123</v>
      </c>
      <c r="M35" s="132">
        <f>F8</f>
        <v>69328</v>
      </c>
      <c r="N35" s="133">
        <f>M35/N33</f>
        <v>693.28</v>
      </c>
      <c r="O35" s="111">
        <f>N35*$O$33/365</f>
        <v>603.91092377941698</v>
      </c>
    </row>
    <row r="36" spans="2:15" ht="15.45" x14ac:dyDescent="0.4">
      <c r="B36" s="43" t="s">
        <v>3</v>
      </c>
      <c r="C36" s="61">
        <f>E36/E17</f>
        <v>1.0379567422414089</v>
      </c>
      <c r="D36" s="45"/>
      <c r="E36" s="44">
        <f>F36/E15</f>
        <v>1072.5553003161224</v>
      </c>
      <c r="F36" s="46">
        <f>F34+F33</f>
        <v>102965.30883034774</v>
      </c>
      <c r="G36" s="46"/>
      <c r="H36" s="14" t="s">
        <v>44</v>
      </c>
      <c r="L36" s="123" t="s">
        <v>124</v>
      </c>
      <c r="M36" s="132">
        <f>F27</f>
        <v>92256</v>
      </c>
      <c r="N36" s="133">
        <f>M36/$N$33</f>
        <v>922.56</v>
      </c>
      <c r="O36" s="111">
        <f>N36*0.5*$O$33/365</f>
        <v>401.81749209694419</v>
      </c>
    </row>
    <row r="37" spans="2:15" ht="15.45" x14ac:dyDescent="0.4">
      <c r="B37" s="2" t="s">
        <v>42</v>
      </c>
      <c r="C37" s="60">
        <f>(F22-F8-F32-F34)/F17</f>
        <v>0.87711382227472035</v>
      </c>
      <c r="D37" s="45"/>
      <c r="E37" s="45"/>
      <c r="F37" s="45"/>
      <c r="G37" s="45"/>
      <c r="L37" s="108" t="s">
        <v>125</v>
      </c>
      <c r="M37" s="132">
        <f>F28</f>
        <v>2000</v>
      </c>
      <c r="N37" s="133">
        <f>M37/$N$33</f>
        <v>20</v>
      </c>
      <c r="O37" s="111">
        <f>N37*0.5*$O$33/365</f>
        <v>8.7109237794169303</v>
      </c>
    </row>
    <row r="38" spans="2:15" ht="15.45" x14ac:dyDescent="0.4">
      <c r="B38" s="43" t="s">
        <v>4</v>
      </c>
      <c r="C38" s="47"/>
      <c r="D38" s="47"/>
      <c r="E38" s="46">
        <f>F38/E15</f>
        <v>1794.7219669827889</v>
      </c>
      <c r="F38" s="46">
        <f>F8+F36</f>
        <v>172293.30883034773</v>
      </c>
      <c r="G38" s="46"/>
      <c r="H38" s="12"/>
      <c r="L38" s="106" t="s">
        <v>7</v>
      </c>
      <c r="M38" s="134">
        <f>SUM(M35:M37)</f>
        <v>163584</v>
      </c>
      <c r="N38" s="135">
        <f>SUM(N35:N37)</f>
        <v>1635.84</v>
      </c>
      <c r="O38" s="113">
        <f>SUM(O35:O37)</f>
        <v>1014.4393396557781</v>
      </c>
    </row>
    <row r="39" spans="2:15" ht="15.45" x14ac:dyDescent="0.4">
      <c r="B39" s="43"/>
      <c r="C39" s="47"/>
      <c r="D39" s="47"/>
      <c r="E39" s="46" t="s">
        <v>67</v>
      </c>
      <c r="F39" s="46"/>
      <c r="G39" s="46"/>
      <c r="L39" s="108"/>
      <c r="M39" s="132"/>
      <c r="N39" s="133"/>
      <c r="O39" s="114" t="s">
        <v>126</v>
      </c>
    </row>
    <row r="40" spans="2:15" ht="15.45" x14ac:dyDescent="0.4">
      <c r="B40" s="43" t="s">
        <v>102</v>
      </c>
      <c r="C40" s="45"/>
      <c r="D40" s="47" t="s">
        <v>103</v>
      </c>
      <c r="E40" s="100">
        <f>E38/D10*100</f>
        <v>123.77392875743371</v>
      </c>
      <c r="F40" s="45"/>
      <c r="G40" s="45"/>
      <c r="L40" s="106" t="s">
        <v>127</v>
      </c>
      <c r="M40" s="136">
        <f>C30</f>
        <v>5</v>
      </c>
      <c r="N40" s="137" t="s">
        <v>128</v>
      </c>
      <c r="O40" s="113">
        <f>O38*M40*0.01</f>
        <v>50.721966982788906</v>
      </c>
    </row>
    <row r="41" spans="2:15" ht="15.45" x14ac:dyDescent="0.4">
      <c r="B41" s="45"/>
      <c r="C41" s="45"/>
      <c r="D41" s="45"/>
      <c r="E41" s="87" t="s">
        <v>8</v>
      </c>
      <c r="F41" s="45"/>
      <c r="G41" s="45"/>
      <c r="L41" s="138"/>
      <c r="M41" s="139" t="s">
        <v>139</v>
      </c>
      <c r="O41" s="140">
        <f>E30</f>
        <v>100</v>
      </c>
    </row>
    <row r="42" spans="2:15" ht="15.45" x14ac:dyDescent="0.4">
      <c r="B42" s="43" t="s">
        <v>79</v>
      </c>
      <c r="C42" s="43"/>
      <c r="D42" s="43"/>
      <c r="E42" s="44">
        <f>F42/E15</f>
        <v>-75.482383649455485</v>
      </c>
      <c r="F42" s="46">
        <f>F22-F38</f>
        <v>-7246.3088303477271</v>
      </c>
      <c r="G42" s="46"/>
      <c r="L42" s="15"/>
    </row>
    <row r="43" spans="2:15" ht="15.45" x14ac:dyDescent="0.4">
      <c r="B43" s="45"/>
      <c r="C43" s="45"/>
      <c r="D43" s="45"/>
      <c r="E43" s="36"/>
      <c r="F43" s="41"/>
      <c r="G43" s="41"/>
      <c r="H43" s="11"/>
    </row>
    <row r="44" spans="2:15" ht="15.45" x14ac:dyDescent="0.4">
      <c r="B44" s="48" t="s">
        <v>1</v>
      </c>
      <c r="C44" s="45"/>
      <c r="D44" s="45"/>
      <c r="E44" s="49">
        <f>((C7*0.01*F5)*(C22-C8)/E15)</f>
        <v>-228.1323036398467</v>
      </c>
      <c r="F44" s="49"/>
      <c r="G44" s="49"/>
      <c r="H44" s="11"/>
    </row>
    <row r="45" spans="2:15" ht="15.45" x14ac:dyDescent="0.4">
      <c r="B45" s="48" t="s">
        <v>2</v>
      </c>
      <c r="C45" s="45"/>
      <c r="D45" s="45"/>
      <c r="E45" s="44">
        <f>(((C22-C36*100)*F17*0.01)/E15)</f>
        <v>152.64991999039103</v>
      </c>
      <c r="F45" s="45"/>
      <c r="G45" s="122"/>
      <c r="H45" s="11"/>
    </row>
    <row r="46" spans="2:15" ht="15.45" x14ac:dyDescent="0.4">
      <c r="B46" s="48" t="s">
        <v>61</v>
      </c>
      <c r="C46" s="45"/>
      <c r="D46" s="45"/>
      <c r="E46" s="61">
        <f>E44+E45</f>
        <v>-75.48238364945567</v>
      </c>
      <c r="F46" s="44"/>
      <c r="G46" s="44"/>
      <c r="H46" s="9"/>
    </row>
    <row r="47" spans="2:15" ht="15.45" x14ac:dyDescent="0.4">
      <c r="B47" s="25"/>
      <c r="D47" s="88" t="s">
        <v>24</v>
      </c>
      <c r="E47" s="87" t="s">
        <v>8</v>
      </c>
      <c r="F47" s="8"/>
      <c r="G47" s="8"/>
    </row>
    <row r="48" spans="2:15" ht="15.45" x14ac:dyDescent="0.4">
      <c r="B48" s="2" t="s">
        <v>42</v>
      </c>
      <c r="D48" s="8">
        <f>C37</f>
        <v>0.87711382227472035</v>
      </c>
      <c r="E48" s="13">
        <f>((F22-F8-F32-F34)/E15)</f>
        <v>906.35094968387773</v>
      </c>
      <c r="F48" s="13"/>
      <c r="G48" s="13"/>
      <c r="H48" s="39"/>
    </row>
    <row r="49" spans="2:7" ht="15.45" x14ac:dyDescent="0.4">
      <c r="B49" s="16" t="s">
        <v>25</v>
      </c>
      <c r="E49" s="17">
        <f>((E42+E32+E34)/(E5-C5))</f>
        <v>4.7930947580645325E-2</v>
      </c>
      <c r="G49" t="s">
        <v>130</v>
      </c>
    </row>
    <row r="50" spans="2:7" ht="15.45" x14ac:dyDescent="0.4">
      <c r="B50" s="2" t="s">
        <v>77</v>
      </c>
    </row>
    <row r="51" spans="2:7" ht="14.15" x14ac:dyDescent="0.35">
      <c r="B51" s="143" t="s">
        <v>80</v>
      </c>
      <c r="C51" s="144"/>
      <c r="D51" s="144"/>
      <c r="E51" s="144"/>
      <c r="F51" s="145"/>
    </row>
    <row r="52" spans="2:7" ht="14.15" x14ac:dyDescent="0.35">
      <c r="B52" s="143" t="s">
        <v>110</v>
      </c>
      <c r="C52" s="144"/>
      <c r="D52" s="144"/>
      <c r="E52" s="144"/>
      <c r="F52" s="145"/>
    </row>
    <row r="53" spans="2:7" ht="14.15" x14ac:dyDescent="0.35">
      <c r="B53" s="143" t="s">
        <v>78</v>
      </c>
      <c r="C53" s="144"/>
      <c r="D53" s="144"/>
      <c r="E53" s="144"/>
      <c r="F53" s="145"/>
    </row>
    <row r="78" spans="12:12" x14ac:dyDescent="0.3">
      <c r="L78" s="9"/>
    </row>
  </sheetData>
  <sheetProtection sheet="1" objects="1" scenarios="1"/>
  <mergeCells count="6">
    <mergeCell ref="B53:F53"/>
    <mergeCell ref="B3:E3"/>
    <mergeCell ref="B1:F1"/>
    <mergeCell ref="C6:E6"/>
    <mergeCell ref="B51:F51"/>
    <mergeCell ref="B52:F52"/>
  </mergeCells>
  <phoneticPr fontId="16" type="noConversion"/>
  <pageMargins left="1" right="0.5" top="1" bottom="1" header="0.5" footer="0.5"/>
  <pageSetup scale="80" orientation="portrait" r:id="rId1"/>
  <headerFooter alignWithMargins="0">
    <oddFooter xml:space="preserve">&amp;L&amp;F&amp;R&amp;A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15-76D9-49DD-B54D-C598B62B1430}">
  <sheetPr>
    <pageSetUpPr fitToPage="1"/>
  </sheetPr>
  <dimension ref="B2:N52"/>
  <sheetViews>
    <sheetView topLeftCell="A7" workbookViewId="0">
      <selection activeCell="I6" sqref="I6"/>
    </sheetView>
  </sheetViews>
  <sheetFormatPr defaultRowHeight="12.45" x14ac:dyDescent="0.3"/>
  <cols>
    <col min="1" max="1" width="3.15234375" customWidth="1"/>
    <col min="2" max="2" width="15" customWidth="1"/>
    <col min="3" max="3" width="15.53515625" customWidth="1"/>
    <col min="4" max="4" width="15.3046875" customWidth="1"/>
    <col min="5" max="6" width="13.3046875" customWidth="1"/>
    <col min="7" max="7" width="16.3828125" customWidth="1"/>
    <col min="9" max="9" width="13.53515625" customWidth="1"/>
  </cols>
  <sheetData>
    <row r="2" spans="2:14" x14ac:dyDescent="0.3">
      <c r="B2" s="18"/>
    </row>
    <row r="13" spans="2:14" ht="15" x14ac:dyDescent="0.35">
      <c r="K13" s="86" t="s">
        <v>74</v>
      </c>
      <c r="L13" s="86" t="s">
        <v>89</v>
      </c>
      <c r="M13" s="86" t="s">
        <v>90</v>
      </c>
      <c r="N13" s="86" t="s">
        <v>91</v>
      </c>
    </row>
    <row r="14" spans="2:14" ht="15" x14ac:dyDescent="0.35">
      <c r="J14" s="1" t="s">
        <v>92</v>
      </c>
      <c r="K14" s="10">
        <f>C46</f>
        <v>1719.2395833333333</v>
      </c>
      <c r="L14" s="10">
        <f t="shared" ref="L14:N14" si="0">D46</f>
        <v>722.16666666666663</v>
      </c>
      <c r="M14" s="10">
        <f t="shared" si="0"/>
        <v>1072.5553003161224</v>
      </c>
      <c r="N14" s="10">
        <f t="shared" si="0"/>
        <v>-75.482383649455755</v>
      </c>
    </row>
    <row r="44" spans="2:9" ht="15" x14ac:dyDescent="0.35">
      <c r="C44" s="86"/>
      <c r="D44" s="86"/>
      <c r="E44" s="86"/>
      <c r="F44" s="86"/>
    </row>
    <row r="45" spans="2:9" ht="15.45" x14ac:dyDescent="0.4">
      <c r="C45" s="89" t="s">
        <v>74</v>
      </c>
      <c r="D45" s="89" t="s">
        <v>89</v>
      </c>
      <c r="E45" s="89" t="s">
        <v>88</v>
      </c>
      <c r="F45" s="89" t="s">
        <v>91</v>
      </c>
    </row>
    <row r="46" spans="2:9" ht="15.45" x14ac:dyDescent="0.4">
      <c r="B46" s="2" t="s">
        <v>87</v>
      </c>
      <c r="C46" s="10">
        <f>'1.Value of Gain&amp;MarginAnalysis'!E22</f>
        <v>1719.2395833333333</v>
      </c>
      <c r="D46" s="10">
        <f>'1.Value of Gain&amp;MarginAnalysis'!F8/'1.Value of Gain&amp;MarginAnalysis'!E15</f>
        <v>722.16666666666663</v>
      </c>
      <c r="E46" s="10">
        <f>'1.Value of Gain&amp;MarginAnalysis'!E36</f>
        <v>1072.5553003161224</v>
      </c>
      <c r="F46" s="58">
        <f>C46-D46-E46</f>
        <v>-75.482383649455755</v>
      </c>
    </row>
    <row r="47" spans="2:9" x14ac:dyDescent="0.3">
      <c r="I47" t="s">
        <v>60</v>
      </c>
    </row>
    <row r="48" spans="2:9" x14ac:dyDescent="0.3">
      <c r="E48" t="s">
        <v>59</v>
      </c>
      <c r="I48" t="s">
        <v>18</v>
      </c>
    </row>
    <row r="49" spans="3:9" ht="15" x14ac:dyDescent="0.35">
      <c r="C49" s="1" t="s">
        <v>58</v>
      </c>
      <c r="D49" s="77">
        <f>'1.Value of Gain&amp;MarginAnalysis'!M5</f>
        <v>722.16666666666663</v>
      </c>
      <c r="E49" s="38">
        <f>D49/'1.Value of Gain&amp;MarginAnalysis'!$M$14</f>
        <v>0.40238358918665423</v>
      </c>
      <c r="I49" s="78">
        <f>D49/$D$52</f>
        <v>0.40238358918665423</v>
      </c>
    </row>
    <row r="50" spans="3:9" ht="15" x14ac:dyDescent="0.35">
      <c r="C50" s="1" t="s">
        <v>26</v>
      </c>
      <c r="D50" s="77">
        <f>'1.Value of Gain&amp;MarginAnalysis'!M12</f>
        <v>1032.5553003161224</v>
      </c>
      <c r="E50" s="38">
        <f>D50/'1.Value of Gain&amp;MarginAnalysis'!$M$14</f>
        <v>0.57532883606033458</v>
      </c>
      <c r="I50" s="78">
        <f>D50/$D$52</f>
        <v>0.57532883606033458</v>
      </c>
    </row>
    <row r="51" spans="3:9" ht="15" x14ac:dyDescent="0.35">
      <c r="C51" s="1" t="s">
        <v>15</v>
      </c>
      <c r="D51" s="77">
        <f>'1.Value of Gain&amp;MarginAnalysis'!M13</f>
        <v>40</v>
      </c>
      <c r="E51" s="38">
        <f>D51/'1.Value of Gain&amp;MarginAnalysis'!$M$14</f>
        <v>2.2287574753011082E-2</v>
      </c>
      <c r="I51" s="78">
        <f>D51/$D$52</f>
        <v>2.2287574753011082E-2</v>
      </c>
    </row>
    <row r="52" spans="3:9" ht="15.45" x14ac:dyDescent="0.4">
      <c r="C52" s="2" t="s">
        <v>16</v>
      </c>
      <c r="D52" s="91">
        <f>'1.Value of Gain&amp;MarginAnalysis'!M14</f>
        <v>1794.7219669827891</v>
      </c>
      <c r="E52" s="38">
        <f>D52/'1.Value of Gain&amp;MarginAnalysis'!$M$14</f>
        <v>1</v>
      </c>
      <c r="I52" s="78">
        <f>D52/$D$52</f>
        <v>1</v>
      </c>
    </row>
  </sheetData>
  <sheetProtection sheet="1" objects="1" scenarios="1"/>
  <pageMargins left="0.95" right="0.45" top="0.75" bottom="0.75" header="0.3" footer="0.3"/>
  <pageSetup scale="94" orientation="portrait" horizontalDpi="4294967295" verticalDpi="4294967295" r:id="rId1"/>
  <headerFooter>
    <oddFooter>&amp;L&amp;F&amp;R&amp;A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15615-7BEC-49E4-BB71-B745B77C14AE}">
  <sheetPr>
    <pageSetUpPr fitToPage="1"/>
  </sheetPr>
  <dimension ref="B1:B11"/>
  <sheetViews>
    <sheetView workbookViewId="0">
      <selection activeCell="C11" sqref="C11"/>
    </sheetView>
  </sheetViews>
  <sheetFormatPr defaultRowHeight="12.45" x14ac:dyDescent="0.3"/>
  <cols>
    <col min="2" max="2" width="73.84375" customWidth="1"/>
  </cols>
  <sheetData>
    <row r="1" spans="2:2" ht="15" x14ac:dyDescent="0.35">
      <c r="B1" s="62" t="s">
        <v>54</v>
      </c>
    </row>
    <row r="2" spans="2:2" ht="80.05" customHeight="1" x14ac:dyDescent="0.3">
      <c r="B2" s="63" t="s">
        <v>36</v>
      </c>
    </row>
    <row r="3" spans="2:2" ht="65.05" customHeight="1" x14ac:dyDescent="0.4">
      <c r="B3" s="64" t="s">
        <v>37</v>
      </c>
    </row>
    <row r="4" spans="2:2" ht="15.45" x14ac:dyDescent="0.4">
      <c r="B4" s="64"/>
    </row>
    <row r="5" spans="2:2" ht="85" customHeight="1" x14ac:dyDescent="0.4">
      <c r="B5" s="64" t="s">
        <v>47</v>
      </c>
    </row>
    <row r="6" spans="2:2" ht="15.45" x14ac:dyDescent="0.4">
      <c r="B6" s="64"/>
    </row>
    <row r="7" spans="2:2" ht="110.05" customHeight="1" x14ac:dyDescent="0.4">
      <c r="B7" s="64" t="s">
        <v>38</v>
      </c>
    </row>
    <row r="8" spans="2:2" ht="15.45" x14ac:dyDescent="0.4">
      <c r="B8" s="64"/>
    </row>
    <row r="9" spans="2:2" ht="100" customHeight="1" x14ac:dyDescent="0.4">
      <c r="B9" s="64" t="s">
        <v>39</v>
      </c>
    </row>
    <row r="10" spans="2:2" ht="14.15" x14ac:dyDescent="0.35">
      <c r="B10" s="65"/>
    </row>
    <row r="11" spans="2:2" ht="140.05000000000001" customHeight="1" x14ac:dyDescent="0.4">
      <c r="B11" s="66" t="s">
        <v>40</v>
      </c>
    </row>
  </sheetData>
  <sheetProtection sheet="1" objects="1" scenarios="1"/>
  <pageMargins left="0.95" right="0.45" top="0.75" bottom="0.75" header="0.3" footer="0.3"/>
  <pageSetup orientation="portrait" horizontalDpi="4294967295" verticalDpi="4294967295"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2BEB-2C2B-460D-A55F-22B0C3153AE8}">
  <sheetPr>
    <pageSetUpPr fitToPage="1"/>
  </sheetPr>
  <dimension ref="B2:B22"/>
  <sheetViews>
    <sheetView topLeftCell="A17" workbookViewId="0">
      <selection activeCell="B34" sqref="B34"/>
    </sheetView>
  </sheetViews>
  <sheetFormatPr defaultRowHeight="12.45" x14ac:dyDescent="0.3"/>
  <cols>
    <col min="1" max="1" width="3.3828125" customWidth="1"/>
    <col min="2" max="2" width="100.765625" customWidth="1"/>
  </cols>
  <sheetData>
    <row r="2" spans="2:2" ht="15" x14ac:dyDescent="0.35">
      <c r="B2" s="73" t="s">
        <v>66</v>
      </c>
    </row>
    <row r="3" spans="2:2" ht="15" x14ac:dyDescent="0.35">
      <c r="B3" s="71"/>
    </row>
    <row r="4" spans="2:2" ht="60" customHeight="1" x14ac:dyDescent="0.3">
      <c r="B4" s="69" t="s">
        <v>48</v>
      </c>
    </row>
    <row r="5" spans="2:2" ht="15.65" customHeight="1" x14ac:dyDescent="0.3">
      <c r="B5" s="69"/>
    </row>
    <row r="6" spans="2:2" ht="60" customHeight="1" x14ac:dyDescent="0.3">
      <c r="B6" s="69" t="s">
        <v>51</v>
      </c>
    </row>
    <row r="8" spans="2:2" ht="15" x14ac:dyDescent="0.3">
      <c r="B8" s="74" t="s">
        <v>53</v>
      </c>
    </row>
    <row r="9" spans="2:2" ht="15" x14ac:dyDescent="0.3">
      <c r="B9" s="67"/>
    </row>
    <row r="10" spans="2:2" ht="50.05" customHeight="1" x14ac:dyDescent="0.3">
      <c r="B10" s="69" t="s">
        <v>45</v>
      </c>
    </row>
    <row r="11" spans="2:2" ht="15.45" x14ac:dyDescent="0.3">
      <c r="B11" s="68"/>
    </row>
    <row r="12" spans="2:2" ht="75" customHeight="1" x14ac:dyDescent="0.3">
      <c r="B12" s="69" t="s">
        <v>70</v>
      </c>
    </row>
    <row r="13" spans="2:2" ht="15.55" customHeight="1" x14ac:dyDescent="0.3">
      <c r="B13" s="69"/>
    </row>
    <row r="14" spans="2:2" ht="60" customHeight="1" x14ac:dyDescent="0.3">
      <c r="B14" s="69" t="s">
        <v>49</v>
      </c>
    </row>
    <row r="15" spans="2:2" ht="15.45" x14ac:dyDescent="0.3">
      <c r="B15" s="70"/>
    </row>
    <row r="16" spans="2:2" ht="60" customHeight="1" x14ac:dyDescent="0.3">
      <c r="B16" s="72" t="s">
        <v>68</v>
      </c>
    </row>
    <row r="17" spans="2:2" ht="15" x14ac:dyDescent="0.35">
      <c r="B17" s="71"/>
    </row>
    <row r="18" spans="2:2" ht="60" customHeight="1" x14ac:dyDescent="0.3">
      <c r="B18" s="69" t="s">
        <v>52</v>
      </c>
    </row>
    <row r="19" spans="2:2" ht="15.45" x14ac:dyDescent="0.3">
      <c r="B19" s="68"/>
    </row>
    <row r="20" spans="2:2" ht="15.55" customHeight="1" x14ac:dyDescent="0.3">
      <c r="B20" s="68" t="s">
        <v>50</v>
      </c>
    </row>
    <row r="21" spans="2:2" ht="15.55" customHeight="1" x14ac:dyDescent="0.3">
      <c r="B21" s="68"/>
    </row>
    <row r="22" spans="2:2" ht="15.45" x14ac:dyDescent="0.3">
      <c r="B22" s="68" t="s">
        <v>46</v>
      </c>
    </row>
  </sheetData>
  <pageMargins left="0.95" right="0.45" top="0.75" bottom="0.75" header="0.3" footer="0.3"/>
  <pageSetup scale="91"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1.Value of Gain&amp;MarginAnalysis</vt:lpstr>
      <vt:lpstr>2. Graphs </vt:lpstr>
      <vt:lpstr>3.Decision Aid  Definitions</vt:lpstr>
      <vt:lpstr>4. Do Your Own Price Breakeven</vt:lpstr>
      <vt:lpstr>'1.Value of Gain&amp;MarginAnalysis'!Print_Area</vt:lpstr>
      <vt:lpstr>'2. Graphs '!Print_Area</vt:lpstr>
      <vt:lpstr>'4. Do Your Own Price Breakeven'!Print_Area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McGrann</dc:creator>
  <cp:lastModifiedBy>Jim McGrann</cp:lastModifiedBy>
  <cp:lastPrinted>2021-01-07T14:31:44Z</cp:lastPrinted>
  <dcterms:created xsi:type="dcterms:W3CDTF">2004-03-18T15:16:20Z</dcterms:created>
  <dcterms:modified xsi:type="dcterms:W3CDTF">2021-01-07T14:31:45Z</dcterms:modified>
</cp:coreProperties>
</file>