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mcgra\Documents\1. V. Dairy Cattle Retaimed Owmership Additions 2021\First Section\"/>
    </mc:Choice>
  </mc:AlternateContent>
  <xr:revisionPtr revIDLastSave="0" documentId="13_ncr:1_{588411ED-ED74-493E-954D-80A7244F814D}" xr6:coauthVersionLast="45" xr6:coauthVersionMax="45" xr10:uidLastSave="{00000000-0000-0000-0000-000000000000}"/>
  <bookViews>
    <workbookView xWindow="-103" yWindow="-103" windowWidth="16663" windowHeight="8863" xr2:uid="{00000000-000D-0000-FFFF-FFFF00000000}"/>
  </bookViews>
  <sheets>
    <sheet name="1.ProjectedCost&amp;Profitability " sheetId="1" r:id="rId1"/>
    <sheet name="2. Sensitivity Table" sheetId="4" r:id="rId2"/>
    <sheet name="3. BenchmarkReport" sheetId="5" r:id="rId3"/>
    <sheet name="4. Definitions" sheetId="3" r:id="rId4"/>
  </sheets>
  <definedNames>
    <definedName name="_xlnm.Print_Area" localSheetId="0">'1.ProjectedCost&amp;Profitability '!$B$1:$G$58</definedName>
    <definedName name="_xlnm.Print_Area" localSheetId="1">'2. Sensitivity Table'!$B$2:$I$46</definedName>
    <definedName name="_xlnm.Print_Area" localSheetId="2">'3. BenchmarkReport'!$B$1:$D$59</definedName>
    <definedName name="_xlnm.Print_Area" localSheetId="3">'4. Definitions'!$B$1:$B$20</definedName>
  </definedNames>
  <calcPr calcId="181029"/>
</workbook>
</file>

<file path=xl/calcChain.xml><?xml version="1.0" encoding="utf-8"?>
<calcChain xmlns="http://schemas.openxmlformats.org/spreadsheetml/2006/main">
  <c r="C10" i="1" l="1"/>
  <c r="F14" i="1" l="1"/>
  <c r="I41" i="1" l="1"/>
  <c r="C30" i="1"/>
  <c r="D19" i="5" l="1"/>
  <c r="D18" i="5"/>
  <c r="D17" i="5"/>
  <c r="D14" i="5"/>
  <c r="E9" i="4"/>
  <c r="C39" i="1"/>
  <c r="D34" i="1"/>
  <c r="D35" i="1"/>
  <c r="D30" i="1"/>
  <c r="C17" i="1" l="1"/>
  <c r="C24" i="1" s="1"/>
  <c r="F20" i="1" s="1"/>
  <c r="C19" i="1"/>
  <c r="D19" i="1" l="1"/>
  <c r="F5" i="1" l="1"/>
  <c r="F6" i="1"/>
  <c r="D22" i="1"/>
  <c r="I16" i="1"/>
  <c r="D13" i="5"/>
  <c r="F28" i="1"/>
  <c r="E8" i="4"/>
  <c r="F16" i="1"/>
  <c r="I28" i="1" l="1"/>
  <c r="D21" i="5"/>
  <c r="E7" i="4"/>
  <c r="F18" i="1"/>
  <c r="C22" i="4" l="1"/>
  <c r="C2" i="5"/>
  <c r="C44" i="1" l="1"/>
  <c r="D11" i="1" l="1"/>
  <c r="C12" i="1" s="1"/>
  <c r="E5" i="4" l="1"/>
  <c r="D42" i="5"/>
  <c r="D39" i="5"/>
  <c r="D53" i="5"/>
  <c r="D12" i="5"/>
  <c r="D11" i="5"/>
  <c r="E6" i="4" l="1"/>
  <c r="E3" i="4" l="1"/>
  <c r="D15" i="5" l="1"/>
  <c r="D30" i="5" l="1"/>
  <c r="C30" i="5" s="1"/>
  <c r="M27" i="1"/>
  <c r="E10" i="4"/>
  <c r="I33" i="1" l="1"/>
  <c r="D67" i="1"/>
  <c r="M19" i="4"/>
  <c r="M20" i="4"/>
  <c r="M21" i="4"/>
  <c r="M22" i="4"/>
  <c r="M24" i="4"/>
  <c r="M23" i="4"/>
  <c r="M25" i="4"/>
  <c r="C32" i="4"/>
  <c r="D33" i="1"/>
  <c r="D36" i="1" s="1"/>
  <c r="I30" i="1" l="1"/>
  <c r="C38" i="1"/>
  <c r="C25" i="5" l="1"/>
  <c r="F21" i="1"/>
  <c r="F24" i="1" s="1"/>
  <c r="D20" i="5"/>
  <c r="G12" i="4"/>
  <c r="H12" i="4" s="1"/>
  <c r="C65" i="1"/>
  <c r="F55" i="1" s="1"/>
  <c r="C40" i="1"/>
  <c r="D25" i="5" l="1"/>
  <c r="F40" i="1"/>
  <c r="D29" i="5"/>
  <c r="C29" i="5" s="1"/>
  <c r="I24" i="1"/>
  <c r="B22" i="4" s="1"/>
  <c r="G13" i="4"/>
  <c r="F12" i="4"/>
  <c r="E12" i="4" s="1"/>
  <c r="E13" i="4" s="1"/>
  <c r="I12" i="4"/>
  <c r="I13" i="4" s="1"/>
  <c r="H13" i="4"/>
  <c r="J28" i="1" l="1"/>
  <c r="G40" i="1"/>
  <c r="F13" i="4"/>
  <c r="B23" i="4"/>
  <c r="B21" i="4"/>
  <c r="B32" i="4"/>
  <c r="B24" i="4" l="1"/>
  <c r="B33" i="4"/>
  <c r="B20" i="4"/>
  <c r="B31" i="4"/>
  <c r="B25" i="4" l="1"/>
  <c r="B34" i="4"/>
  <c r="B30" i="4"/>
  <c r="B19" i="4"/>
  <c r="B35" i="4" l="1"/>
  <c r="B29" i="4"/>
  <c r="D12" i="1" l="1"/>
  <c r="C41" i="1" s="1"/>
  <c r="C45" i="1"/>
  <c r="D44" i="1" s="1"/>
  <c r="F32" i="1" s="1"/>
  <c r="F35" i="1"/>
  <c r="D24" i="5"/>
  <c r="D72" i="1" l="1"/>
  <c r="D47" i="5" s="1"/>
  <c r="E4" i="4"/>
  <c r="K37" i="1"/>
  <c r="C50" i="1" s="1"/>
  <c r="C34" i="5" s="1"/>
  <c r="F44" i="1"/>
  <c r="D31" i="5"/>
  <c r="G56" i="1"/>
  <c r="D54" i="5" s="1"/>
  <c r="F33" i="1"/>
  <c r="I32" i="1"/>
  <c r="J32" i="1" s="1"/>
  <c r="C24" i="5"/>
  <c r="C26" i="5" s="1"/>
  <c r="K20" i="4" l="1"/>
  <c r="L20" i="4" s="1"/>
  <c r="D20" i="4" s="1"/>
  <c r="F15" i="4"/>
  <c r="K22" i="4"/>
  <c r="L22" i="4" s="1"/>
  <c r="D22" i="4" s="1"/>
  <c r="K19" i="4"/>
  <c r="L19" i="4" s="1"/>
  <c r="D19" i="4" s="1"/>
  <c r="K24" i="4"/>
  <c r="L24" i="4" s="1"/>
  <c r="D24" i="4" s="1"/>
  <c r="K25" i="4"/>
  <c r="L25" i="4" s="1"/>
  <c r="D25" i="4" s="1"/>
  <c r="E15" i="4"/>
  <c r="K23" i="4"/>
  <c r="L23" i="4" s="1"/>
  <c r="D23" i="4" s="1"/>
  <c r="H15" i="4"/>
  <c r="K21" i="4"/>
  <c r="L21" i="4" s="1"/>
  <c r="D21" i="4" s="1"/>
  <c r="G15" i="4"/>
  <c r="I38" i="4"/>
  <c r="I15" i="4"/>
  <c r="G20" i="4"/>
  <c r="G30" i="4" s="1"/>
  <c r="G25" i="4"/>
  <c r="G35" i="4" s="1"/>
  <c r="I25" i="4"/>
  <c r="I35" i="4" s="1"/>
  <c r="G24" i="4"/>
  <c r="G34" i="4" s="1"/>
  <c r="I21" i="4"/>
  <c r="I31" i="4" s="1"/>
  <c r="F20" i="4"/>
  <c r="F30" i="4" s="1"/>
  <c r="F21" i="4"/>
  <c r="F31" i="4" s="1"/>
  <c r="I20" i="4"/>
  <c r="I30" i="4" s="1"/>
  <c r="F24" i="4"/>
  <c r="F34" i="4" s="1"/>
  <c r="H20" i="4"/>
  <c r="H30" i="4" s="1"/>
  <c r="E25" i="4"/>
  <c r="E35" i="4" s="1"/>
  <c r="I24" i="4"/>
  <c r="I34" i="4" s="1"/>
  <c r="C31" i="5"/>
  <c r="D32" i="5"/>
  <c r="F37" i="1"/>
  <c r="G33" i="1" s="1"/>
  <c r="F45" i="1"/>
  <c r="K45" i="1" s="1"/>
  <c r="K33" i="1"/>
  <c r="F50" i="1" s="1"/>
  <c r="D73" i="1" s="1"/>
  <c r="E24" i="4" l="1"/>
  <c r="E34" i="4" s="1"/>
  <c r="H24" i="4"/>
  <c r="H34" i="4" s="1"/>
  <c r="G21" i="4"/>
  <c r="G31" i="4" s="1"/>
  <c r="H25" i="4"/>
  <c r="H35" i="4" s="1"/>
  <c r="H22" i="4"/>
  <c r="H32" i="4" s="1"/>
  <c r="E20" i="4"/>
  <c r="E30" i="4" s="1"/>
  <c r="I19" i="4"/>
  <c r="I29" i="4" s="1"/>
  <c r="G22" i="4"/>
  <c r="G32" i="4" s="1"/>
  <c r="H23" i="4"/>
  <c r="H33" i="4" s="1"/>
  <c r="H21" i="4"/>
  <c r="H31" i="4" s="1"/>
  <c r="F25" i="4"/>
  <c r="F35" i="4" s="1"/>
  <c r="E21" i="4"/>
  <c r="E31" i="4" s="1"/>
  <c r="E22" i="4"/>
  <c r="E32" i="4" s="1"/>
  <c r="O23" i="4"/>
  <c r="D33" i="4"/>
  <c r="D44" i="4" s="1"/>
  <c r="G19" i="4"/>
  <c r="G29" i="4" s="1"/>
  <c r="H19" i="4"/>
  <c r="H29" i="4" s="1"/>
  <c r="F19" i="4"/>
  <c r="F29" i="4" s="1"/>
  <c r="F22" i="4"/>
  <c r="F32" i="4" s="1"/>
  <c r="I23" i="4"/>
  <c r="I33" i="4" s="1"/>
  <c r="O21" i="4"/>
  <c r="D31" i="4"/>
  <c r="D42" i="4" s="1"/>
  <c r="D35" i="4"/>
  <c r="D46" i="4" s="1"/>
  <c r="O25" i="4"/>
  <c r="D29" i="4"/>
  <c r="D40" i="4" s="1"/>
  <c r="O19" i="4"/>
  <c r="E19" i="4"/>
  <c r="E29" i="4" s="1"/>
  <c r="G23" i="4"/>
  <c r="G33" i="4" s="1"/>
  <c r="F23" i="4"/>
  <c r="F33" i="4" s="1"/>
  <c r="D32" i="4"/>
  <c r="D43" i="4" s="1"/>
  <c r="O22" i="4"/>
  <c r="I22" i="4"/>
  <c r="I32" i="4" s="1"/>
  <c r="E23" i="4"/>
  <c r="E33" i="4" s="1"/>
  <c r="O24" i="4"/>
  <c r="D34" i="4"/>
  <c r="D45" i="4" s="1"/>
  <c r="O20" i="4"/>
  <c r="D30" i="4"/>
  <c r="D41" i="4" s="1"/>
  <c r="C32" i="5"/>
  <c r="D36" i="5"/>
  <c r="D43" i="5" s="1"/>
  <c r="D48" i="5"/>
  <c r="D74" i="1"/>
  <c r="F47" i="1"/>
  <c r="G37" i="1"/>
  <c r="D45" i="5"/>
  <c r="G24" i="1"/>
  <c r="F53" i="1"/>
  <c r="G28" i="1"/>
  <c r="G22" i="1"/>
  <c r="G14" i="1"/>
  <c r="F41" i="1"/>
  <c r="G18" i="1"/>
  <c r="G21" i="1"/>
  <c r="G8" i="1"/>
  <c r="G35" i="1"/>
  <c r="C60" i="1" s="1"/>
  <c r="G32" i="1"/>
  <c r="P25" i="4" l="1"/>
  <c r="F46" i="4" s="1"/>
  <c r="G46" i="4"/>
  <c r="I46" i="4" s="1"/>
  <c r="P22" i="4"/>
  <c r="F43" i="4" s="1"/>
  <c r="Q22" i="4"/>
  <c r="G43" i="4"/>
  <c r="I43" i="4" s="1"/>
  <c r="G42" i="4"/>
  <c r="I42" i="4" s="1"/>
  <c r="P21" i="4"/>
  <c r="F42" i="4" s="1"/>
  <c r="P20" i="4"/>
  <c r="F41" i="4" s="1"/>
  <c r="G41" i="4"/>
  <c r="I41" i="4" s="1"/>
  <c r="G45" i="4"/>
  <c r="I45" i="4" s="1"/>
  <c r="P24" i="4"/>
  <c r="F45" i="4" s="1"/>
  <c r="G40" i="4"/>
  <c r="I40" i="4" s="1"/>
  <c r="P19" i="4"/>
  <c r="F40" i="4" s="1"/>
  <c r="P23" i="4"/>
  <c r="F44" i="4" s="1"/>
  <c r="G44" i="4"/>
  <c r="I44" i="4" s="1"/>
  <c r="I35" i="1"/>
  <c r="D37" i="5"/>
  <c r="D40" i="5"/>
  <c r="G53" i="1"/>
  <c r="C45" i="5"/>
  <c r="C46" i="1"/>
  <c r="G41" i="1"/>
  <c r="D65" i="1"/>
  <c r="G47" i="1"/>
  <c r="C48" i="1"/>
  <c r="D51" i="5" s="1"/>
  <c r="D49" i="5"/>
  <c r="F56" i="1" l="1"/>
  <c r="D56" i="5" s="1"/>
  <c r="D66" i="1"/>
  <c r="D68" i="1" l="1"/>
  <c r="D69" i="1" s="1"/>
  <c r="F57" i="1"/>
  <c r="D55" i="5" s="1"/>
  <c r="D56" i="1"/>
</calcChain>
</file>

<file path=xl/sharedStrings.xml><?xml version="1.0" encoding="utf-8"?>
<sst xmlns="http://schemas.openxmlformats.org/spreadsheetml/2006/main" count="285" uniqueCount="244">
  <si>
    <t>Check on percent of cost items.</t>
  </si>
  <si>
    <t>SUMMARY</t>
  </si>
  <si>
    <t>__________________________________________________________</t>
  </si>
  <si>
    <t>$/Head</t>
  </si>
  <si>
    <t>Indirect Costs</t>
  </si>
  <si>
    <r>
      <t xml:space="preserve"> </t>
    </r>
    <r>
      <rPr>
        <b/>
        <sz val="11"/>
        <rFont val="Times New Roman"/>
        <family val="1"/>
      </rPr>
      <t xml:space="preserve">Owner Operator Labor and Management </t>
    </r>
    <r>
      <rPr>
        <sz val="11"/>
        <rFont val="Times New Roman"/>
        <family val="1"/>
      </rPr>
      <t>compensation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This makes a sole proprietors cost comparable to a corporate business’s cost calculation.  Owner manager costs need to be included in production costs. Many sole proprietor businesses have withdrawals for family living. Withdrawals beyond an equivalent to the salary would be an equity withdrawal on a production cost.</t>
    </r>
  </si>
  <si>
    <t>Include veterinary services and consultation</t>
  </si>
  <si>
    <t>Include indirect or overhead costs see the definition sheet.</t>
  </si>
  <si>
    <t xml:space="preserve"> Interest Rate</t>
  </si>
  <si>
    <t>Return on Investment - ROI</t>
  </si>
  <si>
    <r>
      <rPr>
        <b/>
        <sz val="11"/>
        <rFont val="Times New Roman"/>
        <family val="1"/>
      </rPr>
      <t xml:space="preserve"> Total Cost and Total Unit Cost (TUC) includes:</t>
    </r>
    <r>
      <rPr>
        <sz val="11"/>
        <rFont val="Times New Roman"/>
        <family val="1"/>
      </rPr>
      <t xml:space="preserve"> 1. Direct costs, 2. Indirect costs including general and administrative (G&amp;A) and management costs including owner operating management compensation and 3. Finance cost. When costs are complete TUC is consistent with the total business income statement or profit and loss (P&amp;L) statement.   </t>
    </r>
  </si>
  <si>
    <t>Marketing Cost - Commission - %</t>
  </si>
  <si>
    <t xml:space="preserve">     ROI</t>
  </si>
  <si>
    <t>Non-cattle cost</t>
  </si>
  <si>
    <t>Net Gain</t>
  </si>
  <si>
    <t>Profit plus Interest</t>
  </si>
  <si>
    <t>Value of Gain = ((Total Revenue-Total Cattle Cost)/Net Gain)</t>
  </si>
  <si>
    <t>Net Price</t>
  </si>
  <si>
    <t>Target Profit Per Head &amp; ROI</t>
  </si>
  <si>
    <t>Sales Value</t>
  </si>
  <si>
    <t xml:space="preserve">     Change</t>
  </si>
  <si>
    <t xml:space="preserve">          Target's ROI</t>
  </si>
  <si>
    <t>Target Change Calculations</t>
  </si>
  <si>
    <t>Target Check</t>
  </si>
  <si>
    <t>Net of Mortality Sales</t>
  </si>
  <si>
    <t xml:space="preserve">    $/Cwt.</t>
  </si>
  <si>
    <t xml:space="preserve">        $/Cwt.</t>
  </si>
  <si>
    <t>$/Cwt.</t>
  </si>
  <si>
    <t>ROI=(Profit + Interest  Cost)/Annualized Investment)</t>
  </si>
  <si>
    <t xml:space="preserve">             Cost of Gain - $/Lb.</t>
  </si>
  <si>
    <t>Target Profit &amp; Price</t>
  </si>
  <si>
    <t>Total Indirect Cost - $/Hd.</t>
  </si>
  <si>
    <t>Total Added Cost - $/Hd.</t>
  </si>
  <si>
    <t>Annualized Investment - $/Head</t>
  </si>
  <si>
    <t>Total Finance Cost - $/Hd.</t>
  </si>
  <si>
    <t xml:space="preserve">       $/Head</t>
  </si>
  <si>
    <t>Health &amp;Treatment Cost/Hd.</t>
  </si>
  <si>
    <t xml:space="preserve">  $/Cwt.</t>
  </si>
  <si>
    <t>`</t>
  </si>
  <si>
    <t>Feeder Sales Value - $/Hd.</t>
  </si>
  <si>
    <t>Feeder Sale Value</t>
  </si>
  <si>
    <t xml:space="preserve">              Target's Price</t>
  </si>
  <si>
    <t xml:space="preserve"> Net Gain  - Lbs.</t>
  </si>
  <si>
    <t>Value of Gain - $/Lb.*</t>
  </si>
  <si>
    <t xml:space="preserve"> Increase In Cattle Value</t>
  </si>
  <si>
    <t>Total Cost of Net Gain</t>
  </si>
  <si>
    <t xml:space="preserve"> Other Costs - $/Head</t>
  </si>
  <si>
    <t>After shrink &amp; death loss.</t>
  </si>
  <si>
    <t>Total days</t>
  </si>
  <si>
    <t>Days</t>
  </si>
  <si>
    <t xml:space="preserve">The Cost of the initial calf is </t>
  </si>
  <si>
    <t>of the total costs or Total Unit Cost (TUC).</t>
  </si>
  <si>
    <t>Payweight In - Lbs.</t>
  </si>
  <si>
    <t>Payweight In</t>
  </si>
  <si>
    <t>Net Payweight In Price - $/Cwt.</t>
  </si>
  <si>
    <t>Interest Rate %</t>
  </si>
  <si>
    <t>Net Average Daily Gain Lb.</t>
  </si>
  <si>
    <t>Net Payweight Gain</t>
  </si>
  <si>
    <t xml:space="preserve">Payweight </t>
  </si>
  <si>
    <t>Gross Income - $/Hd.</t>
  </si>
  <si>
    <t>Net Income Per Head</t>
  </si>
  <si>
    <t>Value of Gain - $/Lb.</t>
  </si>
  <si>
    <t>Net Return on Investment (ROI)</t>
  </si>
  <si>
    <t>ROI is calculated before interest charge. Or net income + interest cost/ cattle cost plus 1/2 of cost of gain adjusted for time on feed.</t>
  </si>
  <si>
    <t>See definition sheet.</t>
  </si>
  <si>
    <t>Change in sales price</t>
  </si>
  <si>
    <t>Change in cost of gain</t>
  </si>
  <si>
    <t>Interest</t>
  </si>
  <si>
    <t>Cost/Day</t>
  </si>
  <si>
    <t xml:space="preserve">   Cost Per Day</t>
  </si>
  <si>
    <t>Direct Cost of</t>
  </si>
  <si>
    <t>Indirect</t>
  </si>
  <si>
    <t>Cost/Hd</t>
  </si>
  <si>
    <t>Cost/of Gain</t>
  </si>
  <si>
    <t>Total Cost</t>
  </si>
  <si>
    <t>TUC/Cwt.</t>
  </si>
  <si>
    <t>$/Hd.</t>
  </si>
  <si>
    <t>TUC/Head</t>
  </si>
  <si>
    <t>% of TUC</t>
  </si>
  <si>
    <t>Cattle In Cost $/Hd.</t>
  </si>
  <si>
    <t xml:space="preserve">                Total Unit Cost (TUC)</t>
  </si>
  <si>
    <t>Table Ranges</t>
  </si>
  <si>
    <t>Gain $/Lb.</t>
  </si>
  <si>
    <t>Net Income and ROI Based on Cattle In and Out Price and TUC of Gain</t>
  </si>
  <si>
    <t>Date of Analysis</t>
  </si>
  <si>
    <t>Production System</t>
  </si>
  <si>
    <t>Dominant Breed</t>
  </si>
  <si>
    <t>Prior Management</t>
  </si>
  <si>
    <t>Date In</t>
  </si>
  <si>
    <t>Net Payweight In</t>
  </si>
  <si>
    <t>Lb./Head</t>
  </si>
  <si>
    <t>Days/Head</t>
  </si>
  <si>
    <t>%</t>
  </si>
  <si>
    <t>Shrink % on Sales</t>
  </si>
  <si>
    <t xml:space="preserve">Net Sales Payweight  </t>
  </si>
  <si>
    <t>Lb./Hd</t>
  </si>
  <si>
    <t>Net Gain Per Head Out</t>
  </si>
  <si>
    <t>Net Average Daily Gain (ADG)</t>
  </si>
  <si>
    <t>Lb./Day</t>
  </si>
  <si>
    <t>Price Roll Back</t>
  </si>
  <si>
    <t>Total Unit Cost (TUC)</t>
  </si>
  <si>
    <t>$/Lb.</t>
  </si>
  <si>
    <t>Total Cost of Gain (COG)</t>
  </si>
  <si>
    <t>$/Head Out</t>
  </si>
  <si>
    <t xml:space="preserve">Net Income </t>
  </si>
  <si>
    <t>Projected Return on Investment - ROI  %</t>
  </si>
  <si>
    <t>__________________________________________________________________</t>
  </si>
  <si>
    <t>Steers</t>
  </si>
  <si>
    <t>Value of Gain (VOG)</t>
  </si>
  <si>
    <r>
      <rPr>
        <b/>
        <sz val="11"/>
        <rFont val="Times New Roman"/>
        <family val="1"/>
      </rPr>
      <t xml:space="preserve">Indirect Costs or overhead </t>
    </r>
    <r>
      <rPr>
        <sz val="11"/>
        <rFont val="Times New Roman"/>
        <family val="1"/>
      </rPr>
      <t>are</t>
    </r>
    <r>
      <rPr>
        <b/>
        <sz val="11"/>
        <rFont val="Times New Roman"/>
        <family val="1"/>
      </rPr>
      <t xml:space="preserve"> </t>
    </r>
    <r>
      <rPr>
        <sz val="11"/>
        <rFont val="Times New Roman"/>
        <family val="1"/>
      </rPr>
      <t xml:space="preserve">costs that can’t be assigned directly to a production activity. Many indirect costs are fixed costs. Indirect costs continue irrespective of the level of production activities. Depreciation, repair and maintenance of vehicles, machinery and equipment, labor and management, property tax are examples of indirect costs. </t>
    </r>
    <r>
      <rPr>
        <b/>
        <sz val="11"/>
        <rFont val="Times New Roman"/>
        <family val="1"/>
      </rPr>
      <t xml:space="preserve">General and Administrative Cost (G&amp;A) are indirect </t>
    </r>
    <r>
      <rPr>
        <sz val="11"/>
        <rFont val="Times New Roman"/>
        <family val="1"/>
      </rPr>
      <t xml:space="preserve">costs that all businesses incurs to cover bookkeeping, professional fees, insurance, office supplies, computer services, phone and utility costs and business travel. Administrative cost includes the salary and payroll for support personnel. Owner operator withdrawals are indirect costs. Often ignored is management time required for retained ownership activity. Retained ownership should pay part of business indirect costs. </t>
    </r>
  </si>
  <si>
    <t>Marketing Margin</t>
  </si>
  <si>
    <t xml:space="preserve">$/Head </t>
  </si>
  <si>
    <t>Recall interest is added back to net income the calculate ROI.</t>
  </si>
  <si>
    <t>See definitions on sheet 4.</t>
  </si>
  <si>
    <t>Economic Measures Calculated</t>
  </si>
  <si>
    <t>Production Measures Calculated</t>
  </si>
  <si>
    <t>Origin of Cattle</t>
  </si>
  <si>
    <t>Sex</t>
  </si>
  <si>
    <t>Cattle Sales Price $/Cwt.</t>
  </si>
  <si>
    <t>Net Margin or Income</t>
  </si>
  <si>
    <t>Change in Profit or Net Income</t>
  </si>
  <si>
    <t xml:space="preserve">             Calculated Net Price</t>
  </si>
  <si>
    <t xml:space="preserve">     Necessary Change in Price</t>
  </si>
  <si>
    <t>Value of Gain</t>
  </si>
  <si>
    <t>Margin Summary - $/Head</t>
  </si>
  <si>
    <t>Direct Cost of Gain per Lb.</t>
  </si>
  <si>
    <r>
      <t xml:space="preserve">Total Direct </t>
    </r>
    <r>
      <rPr>
        <sz val="9"/>
        <rFont val="Arial"/>
        <family val="2"/>
      </rPr>
      <t>Costs of Gain-$/Hd.</t>
    </r>
  </si>
  <si>
    <r>
      <t xml:space="preserve">Net Income Profit </t>
    </r>
    <r>
      <rPr>
        <sz val="8"/>
        <rFont val="Arial"/>
        <family val="2"/>
      </rPr>
      <t>- $/Hd. &amp; Cwt.</t>
    </r>
  </si>
  <si>
    <t>Other Costs</t>
  </si>
  <si>
    <t xml:space="preserve">   Price Premium  - $/Cwt. </t>
  </si>
  <si>
    <t xml:space="preserve">   Price Premium - $/Head</t>
  </si>
  <si>
    <t>Profit - $/Head - $/Cwt.</t>
  </si>
  <si>
    <t>Sales price</t>
  </si>
  <si>
    <r>
      <t xml:space="preserve">Record,Verification&amp;Tag </t>
    </r>
    <r>
      <rPr>
        <b/>
        <sz val="8"/>
        <rFont val="Arial"/>
        <family val="2"/>
      </rPr>
      <t>$/Hd.</t>
    </r>
  </si>
  <si>
    <t>If Program Cattle Price Adjustment</t>
  </si>
  <si>
    <t xml:space="preserve">     $/Head</t>
  </si>
  <si>
    <t>Cost of Gain</t>
  </si>
  <si>
    <t xml:space="preserve">Direct </t>
  </si>
  <si>
    <t xml:space="preserve">Finance </t>
  </si>
  <si>
    <r>
      <rPr>
        <b/>
        <sz val="11"/>
        <rFont val="Times New Roman"/>
        <family val="1"/>
      </rPr>
      <t>Total Unit Cost (TUC) or breakeven cost</t>
    </r>
    <r>
      <rPr>
        <sz val="11"/>
        <rFont val="Times New Roman"/>
        <family val="1"/>
      </rPr>
      <t xml:space="preserve"> is a cost component divided by the amount of saleable product.  The costs included must be defined before a breakeven can provide useful information to a decision maker.  A breakeven that does not cover full cost is very misleading.  Feedyards never calculate a “full cost” cattle owner's breakeven.  It is a feedyard direct cost  breakeven.  Producers must add to direct costs full cost of the stocker/feeder  business’s general and administrative (G &amp; A) and finance costs. They must have TUC to measure a true profitability. Having G&amp;A and actual interest cost will mean the stocker/feeder calf profitability and TUC is consistent with the total business income statement or profit and loss (P&amp;L) statement. If a business that only breakeven it will fail. Equity will not grow. All projections need to report conditions for a profit margin above TUC to insure profitable options are chosen.</t>
    </r>
  </si>
  <si>
    <r>
      <rPr>
        <b/>
        <sz val="11"/>
        <rFont val="Times New Roman"/>
        <family val="1"/>
      </rPr>
      <t>Annualized Return on Investment (ROI)</t>
    </r>
    <r>
      <rPr>
        <sz val="11"/>
        <rFont val="Times New Roman"/>
        <family val="1"/>
      </rPr>
      <t xml:space="preserve"> is the net income plus cash interest paid divided by annualized capital investment requirement to support the cattle activity. The reason interest is added back is interest paid represents a return the debt capital. ROI is a return to capital invested irrespective of capital ownership. Capital is adjusted for the time cattle are on feed. Investment required is estimated by taking one half of the investment is non-cattle costs plus the total payweight cost of the cattle times days on feed divided by 365 days. A low ROI is due to high initial calf net sales value or opportunity cost relative to stocker sales value adjusted for price weight slide and premium paid.</t>
    </r>
  </si>
  <si>
    <r>
      <rPr>
        <b/>
        <sz val="11"/>
        <rFont val="Times New Roman"/>
        <family val="1"/>
      </rPr>
      <t>Profitability</t>
    </r>
    <r>
      <rPr>
        <sz val="11"/>
        <rFont val="Times New Roman"/>
        <family val="1"/>
      </rPr>
      <t xml:space="preserve"> is the ability of the ranch production and marketing activity to generate income in excess of </t>
    </r>
    <r>
      <rPr>
        <b/>
        <sz val="11"/>
        <rFont val="Times New Roman"/>
        <family val="1"/>
      </rPr>
      <t>total unit costs (TUC)</t>
    </r>
    <r>
      <rPr>
        <sz val="11"/>
        <rFont val="Times New Roman"/>
        <family val="1"/>
      </rPr>
      <t>.  Profit is the net to equity capital. A profitable business has equity growth reported in the income statement as net ranch accrual income and balance sheet equity as retained earnings and change in equity.</t>
    </r>
  </si>
  <si>
    <r>
      <t>Direct Expenses</t>
    </r>
    <r>
      <rPr>
        <sz val="11"/>
        <rFont val="Times New Roman"/>
        <family val="1"/>
      </rPr>
      <t xml:space="preserve"> are expense items that are directly related to production activity such as grazing, feed, facilities, health, treatment and veterinary services, and cattle cost.</t>
    </r>
  </si>
  <si>
    <t>TX</t>
  </si>
  <si>
    <t>Calculated $/Day  or</t>
  </si>
  <si>
    <t>Other Costs $/Head In</t>
  </si>
  <si>
    <t>Finance Cost - % Financed</t>
  </si>
  <si>
    <t>Percent Financed % &amp; Dol.</t>
  </si>
  <si>
    <t>Feeding Cost</t>
  </si>
  <si>
    <t>Description of Program</t>
  </si>
  <si>
    <t>Sales Date</t>
  </si>
  <si>
    <t xml:space="preserve"> Start Date</t>
  </si>
  <si>
    <t>Processing Cost $/Hd.</t>
  </si>
  <si>
    <t>Direct Costs Of Production</t>
  </si>
  <si>
    <t xml:space="preserve"> Head Days Fed </t>
  </si>
  <si>
    <t xml:space="preserve">For Feeder </t>
  </si>
  <si>
    <t>Day-Old raised</t>
  </si>
  <si>
    <t>Processing, Health &amp; Other Costs</t>
  </si>
  <si>
    <t xml:space="preserve">Total Days Fed </t>
  </si>
  <si>
    <t xml:space="preserve">                               Date of Analysis</t>
  </si>
  <si>
    <t xml:space="preserve">Key Financial Definitions Used In Feeder Profit Evaluation* </t>
  </si>
  <si>
    <t>Annualized investment is weaned calf value plus 1/2 of non-cattle cost adjusted for days in Feeder divided by 365.</t>
  </si>
  <si>
    <t xml:space="preserve">  Added Feeder Cost</t>
  </si>
  <si>
    <t>Feeder Cost</t>
  </si>
  <si>
    <t xml:space="preserve"> Market Price $/Cwt.</t>
  </si>
  <si>
    <t>Net Cost of Feeder if Sold</t>
  </si>
  <si>
    <r>
      <t>Total Unit Cost</t>
    </r>
    <r>
      <rPr>
        <sz val="8"/>
        <rFont val="Arial"/>
        <family val="2"/>
      </rPr>
      <t xml:space="preserve"> </t>
    </r>
    <r>
      <rPr>
        <b/>
        <sz val="10"/>
        <rFont val="Arial"/>
        <family val="2"/>
      </rPr>
      <t>(TUC)</t>
    </r>
    <r>
      <rPr>
        <b/>
        <sz val="8"/>
        <rFont val="Arial"/>
        <family val="2"/>
      </rPr>
      <t>-Transfer Cost</t>
    </r>
  </si>
  <si>
    <t xml:space="preserve">% of </t>
  </si>
  <si>
    <t>Data to consider sale or transfer to next phase</t>
  </si>
  <si>
    <t>The key to profitability is the difference between  raised calf value if sold and feeder sales value. You buy a profit!</t>
  </si>
  <si>
    <t>Transfer Cost Valued at TUC</t>
  </si>
  <si>
    <t>Selling Costs When Sold</t>
  </si>
  <si>
    <t>Total</t>
  </si>
  <si>
    <t>Checkoff - $/Head</t>
  </si>
  <si>
    <t>Freight &amp; Marketing Cost - $/Head</t>
  </si>
  <si>
    <t>Transfer cost for next phase of production and marketing.</t>
  </si>
  <si>
    <t xml:space="preserve"> Gain Cost -$/Day</t>
  </si>
  <si>
    <t xml:space="preserve"> Total Gain Cost-$/Hd.</t>
  </si>
  <si>
    <t>or Cost of Gain $/Lb.</t>
  </si>
  <si>
    <t>Total Gain Cost -$/Hd.</t>
  </si>
  <si>
    <t>Feeding Margin</t>
  </si>
  <si>
    <t>Days Fed</t>
  </si>
  <si>
    <t xml:space="preserve">Version date. </t>
  </si>
  <si>
    <t>Commission if sold.</t>
  </si>
  <si>
    <t>Day cost rate of contractor costs are inclusive of all production costs.</t>
  </si>
  <si>
    <t>Retained</t>
  </si>
  <si>
    <t xml:space="preserve">   Days Fed</t>
  </si>
  <si>
    <t>Projected Gross Production Weight</t>
  </si>
  <si>
    <t xml:space="preserve">   Net ADG</t>
  </si>
  <si>
    <t>Net Payweight Out</t>
  </si>
  <si>
    <t>Feeder Production</t>
  </si>
  <si>
    <t xml:space="preserve">Death Loss % </t>
  </si>
  <si>
    <t>Financing</t>
  </si>
  <si>
    <t>Net Payweight Per Head</t>
  </si>
  <si>
    <t xml:space="preserve">*Based of net gain after shrink and death loss. </t>
  </si>
  <si>
    <t>Source In of Cattle</t>
  </si>
  <si>
    <t>Market or Transfer Weight</t>
  </si>
  <si>
    <t>Payweight Cost or Price In</t>
  </si>
  <si>
    <t>Payweight Price Out</t>
  </si>
  <si>
    <t>Target Profit - $/Hd</t>
  </si>
  <si>
    <t>Target's ROI - %</t>
  </si>
  <si>
    <t>Change in Price to Reach Target*</t>
  </si>
  <si>
    <t>Target's Net Sale Price Necessary</t>
  </si>
  <si>
    <t>Net Payweight Sale Price - $/Cwt.</t>
  </si>
  <si>
    <t xml:space="preserve">Includes labor and management for all activities for feeding feeder. </t>
  </si>
  <si>
    <t>Transfer In Payweight In - Lbs.</t>
  </si>
  <si>
    <r>
      <t xml:space="preserve">*Negative price means a lower sale price </t>
    </r>
    <r>
      <rPr>
        <b/>
        <sz val="10"/>
        <rFont val="Arial"/>
        <family val="2"/>
      </rPr>
      <t>could be paid for feeder if sold</t>
    </r>
  </si>
  <si>
    <t xml:space="preserve">  and reach each target profit.</t>
  </si>
  <si>
    <t>*Is the opportunity Cost of not selling the day-old calf.</t>
  </si>
  <si>
    <t>Total Cost of Production - $/Head</t>
  </si>
  <si>
    <r>
      <t xml:space="preserve">Value of Gain </t>
    </r>
    <r>
      <rPr>
        <sz val="11"/>
        <rFont val="Times New Roman"/>
        <family val="1"/>
      </rPr>
      <t>is the difference of total income and the total cost of the cattle in divided by net weight gain.</t>
    </r>
  </si>
  <si>
    <t>Cost of gain is the sum of all non-cattle cost divided by net weight gain.</t>
  </si>
  <si>
    <t xml:space="preserve">  Non-cattle costs include direct costs, mostly feeding costs, indirect and finance costs.</t>
  </si>
  <si>
    <r>
      <rPr>
        <b/>
        <sz val="11"/>
        <rFont val="Times New Roman"/>
        <family val="1"/>
      </rPr>
      <t>Cost of gain</t>
    </r>
    <r>
      <rPr>
        <sz val="11"/>
        <rFont val="Times New Roman"/>
        <family val="1"/>
      </rPr>
      <t xml:space="preserve"> is the sum of all non-cattle cost divided by net weight gain.</t>
    </r>
  </si>
  <si>
    <t>Net Cost of feeder In</t>
  </si>
  <si>
    <t>Day-Old Calf Total Cost In - $/Head*</t>
  </si>
  <si>
    <t>Day-Old Calf Cost as % of Total Cost of Production</t>
  </si>
  <si>
    <r>
      <t xml:space="preserve">Value of gain must be </t>
    </r>
    <r>
      <rPr>
        <b/>
        <sz val="11"/>
        <rFont val="Arial"/>
        <family val="2"/>
      </rPr>
      <t>greater than cost of gain</t>
    </r>
    <r>
      <rPr>
        <sz val="11"/>
        <rFont val="Arial"/>
        <family val="2"/>
      </rPr>
      <t xml:space="preserve"> to be profitable retained ownership.</t>
    </r>
  </si>
  <si>
    <t>Value of Gain = ((Total Revenue - Total Cattle Cost)/Net Gain)</t>
  </si>
  <si>
    <t>Net Payweight Gain on Head Out - Lb./Hd.</t>
  </si>
  <si>
    <t>Transferred In Feeder Total Cost In - $/Head*</t>
  </si>
  <si>
    <t>Feeder as % of Total Cost of Production</t>
  </si>
  <si>
    <t xml:space="preserve">    $/Head</t>
  </si>
  <si>
    <t>Net Payweight Cost In $/Cwt. and $/Head</t>
  </si>
  <si>
    <t>Net Value Cost In - $/Head and $/Cwt.</t>
  </si>
  <si>
    <r>
      <t>Day-old Calf Initial</t>
    </r>
    <r>
      <rPr>
        <b/>
        <i/>
        <sz val="10"/>
        <rFont val="Arial"/>
        <family val="2"/>
      </rPr>
      <t xml:space="preserve"> </t>
    </r>
    <r>
      <rPr>
        <b/>
        <sz val="10"/>
        <rFont val="Arial"/>
        <family val="2"/>
      </rPr>
      <t>Opportunity Cost - $/Hd.</t>
    </r>
  </si>
  <si>
    <t>Delivery Cost- $/Hd. and $/Cwt.</t>
  </si>
  <si>
    <t xml:space="preserve">  Value of Gain = ((Total Income - Total Cattle Cost)/Net Gain)</t>
  </si>
  <si>
    <t>Price Roll Back - $/Cwt.</t>
  </si>
  <si>
    <t xml:space="preserve">Death Loss </t>
  </si>
  <si>
    <t>Out Date</t>
  </si>
  <si>
    <t>Angus-Holstein Cross</t>
  </si>
  <si>
    <t>Transfer to Grow yard</t>
  </si>
  <si>
    <t>Transferred to Grow yard or Sell</t>
  </si>
  <si>
    <t xml:space="preserve">Calf Raising </t>
  </si>
  <si>
    <t xml:space="preserve">Angus-Holstein  Cross Calf </t>
  </si>
  <si>
    <t>Retained Calf Bhase. Steer is priced at transfer cost from raised calf.</t>
  </si>
  <si>
    <t xml:space="preserve">Calf Retained Ownership Profitability and Return on Investment (ROI)  </t>
  </si>
  <si>
    <t xml:space="preserve">Raised Calf Phase - sale and also calculates transfer cost </t>
  </si>
  <si>
    <t>Raised Calf Projection Benchmarks</t>
  </si>
  <si>
    <r>
      <t xml:space="preserve">Projected </t>
    </r>
    <r>
      <rPr>
        <b/>
        <sz val="10"/>
        <rFont val="Arial"/>
        <family val="2"/>
      </rPr>
      <t>Net</t>
    </r>
    <r>
      <rPr>
        <sz val="10"/>
        <rFont val="Arial"/>
        <family val="2"/>
      </rPr>
      <t xml:space="preserve"> Average Daily Gain - lb./Day</t>
    </r>
  </si>
  <si>
    <t>If Sold Shrink on Sale %</t>
  </si>
  <si>
    <t>Gross Sales Price If Sold - $/Cwt.</t>
  </si>
  <si>
    <t>If Sold Net Market Payweight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</si>
</sst>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quot;$&quot;#,##0.00"/>
    <numFmt numFmtId="167" formatCode="_(&quot;$&quot;* #,##0_);_(&quot;$&quot;* \(#,##0\);_(&quot;$&quot;* &quot;-&quot;??_);_(@_)"/>
    <numFmt numFmtId="168" formatCode="[$$-409]#,##0.00_);[Red]\([$$-409]#,##0.00\)"/>
    <numFmt numFmtId="169" formatCode="&quot;$&quot;#,##0"/>
    <numFmt numFmtId="170" formatCode="[$$-409]#,##0_);[Red]\([$$-409]#,##0\)"/>
    <numFmt numFmtId="171" formatCode="&quot;$&quot;#,##0.000"/>
    <numFmt numFmtId="172" formatCode="&quot;$&quot;#,##0.0000"/>
    <numFmt numFmtId="173" formatCode="[$$-409]#,##0.000_);[Red]\([$$-409]#,##0.000\)"/>
    <numFmt numFmtId="174" formatCode="[$-409]d\-mmm\-yy;@"/>
    <numFmt numFmtId="175" formatCode="&quot;$&quot;#,##0.000_);[Red]\(&quot;$&quot;#,##0.000\)"/>
    <numFmt numFmtId="176" formatCode="[$$-409]#,##0.0000_);[Red]\([$$-409]#,##0.0000\)"/>
    <numFmt numFmtId="177" formatCode="_(* #,##0_);_(* \(#,##0\);_(* &quot;-&quot;??_);_(@_)"/>
    <numFmt numFmtId="178" formatCode="0.0_)"/>
    <numFmt numFmtId="179" formatCode="[$$-409]#,##0.00"/>
    <numFmt numFmtId="180" formatCode="&quot;$&quot;#,##0.00000"/>
    <numFmt numFmtId="181" formatCode="#,##0.0_);[Red]\(#,##0.0\)"/>
  </numFmts>
  <fonts count="34" x14ac:knownFonts="1">
    <font>
      <sz val="10"/>
      <name val="Arial"/>
    </font>
    <font>
      <b/>
      <sz val="12"/>
      <name val="Arial"/>
      <family val="2"/>
    </font>
    <font>
      <sz val="10"/>
      <name val="Arial"/>
      <family val="2"/>
    </font>
    <font>
      <b/>
      <sz val="10"/>
      <name val="Arial"/>
      <family val="2"/>
    </font>
    <font>
      <sz val="9"/>
      <name val="Arial"/>
      <family val="2"/>
    </font>
    <font>
      <sz val="11"/>
      <name val="Arial"/>
      <family val="2"/>
    </font>
    <font>
      <sz val="10"/>
      <color rgb="FF0000FF"/>
      <name val="Arial"/>
      <family val="2"/>
    </font>
    <font>
      <sz val="12"/>
      <name val="Arial"/>
      <family val="2"/>
    </font>
    <font>
      <b/>
      <sz val="11"/>
      <name val="Arial"/>
      <family val="2"/>
    </font>
    <font>
      <b/>
      <sz val="11"/>
      <name val="Times New Roman"/>
      <family val="1"/>
    </font>
    <font>
      <sz val="11"/>
      <name val="Times New Roman"/>
      <family val="1"/>
    </font>
    <font>
      <b/>
      <sz val="14"/>
      <name val="Arial"/>
      <family val="2"/>
    </font>
    <font>
      <sz val="12"/>
      <color rgb="FF2D07B9"/>
      <name val="Arial"/>
      <family val="2"/>
    </font>
    <font>
      <sz val="12"/>
      <color rgb="FF0000FF"/>
      <name val="Arial"/>
      <family val="2"/>
    </font>
    <font>
      <sz val="10"/>
      <color rgb="FFFF0000"/>
      <name val="Arial"/>
      <family val="2"/>
    </font>
    <font>
      <b/>
      <sz val="12"/>
      <name val="Arial"/>
      <family val="2"/>
    </font>
    <font>
      <sz val="10"/>
      <name val="Arial"/>
      <family val="2"/>
    </font>
    <font>
      <sz val="10"/>
      <name val="Arial"/>
      <family val="2"/>
    </font>
    <font>
      <b/>
      <sz val="10"/>
      <name val="Arial"/>
      <family val="2"/>
    </font>
    <font>
      <b/>
      <sz val="10"/>
      <color rgb="FF0000FF"/>
      <name val="Arial"/>
      <family val="2"/>
    </font>
    <font>
      <sz val="10"/>
      <color rgb="FF0000FF"/>
      <name val="Arial"/>
      <family val="2"/>
    </font>
    <font>
      <b/>
      <sz val="11"/>
      <name val="Arial"/>
      <family val="2"/>
    </font>
    <font>
      <sz val="11"/>
      <name val="Arial"/>
      <family val="2"/>
    </font>
    <font>
      <b/>
      <sz val="8"/>
      <name val="Arial"/>
      <family val="2"/>
    </font>
    <font>
      <b/>
      <sz val="10"/>
      <color indexed="12"/>
      <name val="Arial"/>
      <family val="2"/>
    </font>
    <font>
      <sz val="8"/>
      <name val="Arial"/>
      <family val="2"/>
    </font>
    <font>
      <sz val="9"/>
      <name val="Arial"/>
      <family val="2"/>
    </font>
    <font>
      <b/>
      <sz val="12"/>
      <color rgb="FF0000FF"/>
      <name val="Arial"/>
      <family val="2"/>
    </font>
    <font>
      <b/>
      <sz val="11"/>
      <color rgb="FF0000FF"/>
      <name val="Arial"/>
      <family val="2"/>
    </font>
    <font>
      <sz val="11"/>
      <color rgb="FF0000FF"/>
      <name val="Arial"/>
      <family val="2"/>
    </font>
    <font>
      <sz val="10"/>
      <name val="Arial"/>
      <family val="2"/>
    </font>
    <font>
      <sz val="10"/>
      <color indexed="39"/>
      <name val="Arial"/>
      <family val="2"/>
    </font>
    <font>
      <b/>
      <i/>
      <sz val="10"/>
      <name val="Arial"/>
      <family val="2"/>
    </font>
    <font>
      <b/>
      <sz val="9"/>
      <name val="Arial"/>
      <family val="2"/>
    </font>
  </fonts>
  <fills count="3">
    <fill>
      <patternFill patternType="none"/>
    </fill>
    <fill>
      <patternFill patternType="gray125"/>
    </fill>
    <fill>
      <patternFill patternType="solid">
        <fgColor rgb="FFCCFFCC"/>
        <bgColor indexed="64"/>
      </patternFill>
    </fill>
  </fills>
  <borders count="12">
    <border>
      <left/>
      <right/>
      <top/>
      <bottom/>
      <diagonal/>
    </border>
    <border>
      <left/>
      <right/>
      <top/>
      <bottom style="double">
        <color indexed="64"/>
      </bottom>
      <diagonal/>
    </border>
    <border>
      <left/>
      <right/>
      <top style="double">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auto="1"/>
      </top>
      <bottom/>
      <diagonal/>
    </border>
    <border>
      <left/>
      <right/>
      <top/>
      <bottom style="thick">
        <color auto="1"/>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s>
  <cellStyleXfs count="9">
    <xf numFmtId="0" fontId="0" fillId="0" borderId="0"/>
    <xf numFmtId="44" fontId="2" fillId="0" borderId="0" applyFont="0" applyFill="0" applyBorder="0" applyAlignment="0" applyProtection="0"/>
    <xf numFmtId="9" fontId="2"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 fillId="0" borderId="0"/>
    <xf numFmtId="43" fontId="30" fillId="0" borderId="0" applyFont="0" applyFill="0" applyBorder="0" applyAlignment="0" applyProtection="0"/>
  </cellStyleXfs>
  <cellXfs count="259">
    <xf numFmtId="0" fontId="0" fillId="0" borderId="0" xfId="0"/>
    <xf numFmtId="0" fontId="1" fillId="0" borderId="0" xfId="0" applyFont="1"/>
    <xf numFmtId="0" fontId="2" fillId="0" borderId="0" xfId="0" applyFont="1"/>
    <xf numFmtId="0" fontId="3" fillId="0" borderId="0" xfId="0" applyFont="1"/>
    <xf numFmtId="164" fontId="0" fillId="0" borderId="0" xfId="0" applyNumberFormat="1"/>
    <xf numFmtId="165" fontId="3" fillId="0" borderId="0" xfId="2" applyNumberFormat="1" applyFont="1"/>
    <xf numFmtId="168" fontId="0" fillId="0" borderId="0" xfId="0" applyNumberFormat="1"/>
    <xf numFmtId="166" fontId="3" fillId="0" borderId="0" xfId="0" applyNumberFormat="1" applyFont="1"/>
    <xf numFmtId="169" fontId="0" fillId="0" borderId="0" xfId="0" applyNumberFormat="1"/>
    <xf numFmtId="166" fontId="0" fillId="0" borderId="0" xfId="0" applyNumberFormat="1"/>
    <xf numFmtId="166" fontId="2" fillId="0" borderId="0" xfId="0" applyNumberFormat="1" applyFont="1"/>
    <xf numFmtId="0" fontId="3" fillId="0" borderId="0" xfId="0" applyFont="1" applyAlignment="1">
      <alignment horizontal="right"/>
    </xf>
    <xf numFmtId="0" fontId="9" fillId="0" borderId="0" xfId="3" applyFont="1" applyAlignment="1">
      <alignment horizontal="justify" vertical="center"/>
    </xf>
    <xf numFmtId="0" fontId="10" fillId="0" borderId="0" xfId="3" quotePrefix="1" applyFont="1" applyAlignment="1">
      <alignment horizontal="justify" vertical="center"/>
    </xf>
    <xf numFmtId="0" fontId="10" fillId="0" borderId="0" xfId="3" applyFont="1" applyAlignment="1">
      <alignment horizontal="left" vertical="center" wrapText="1"/>
    </xf>
    <xf numFmtId="0" fontId="8" fillId="0" borderId="0" xfId="3" applyFont="1" applyAlignment="1">
      <alignment horizontal="center"/>
    </xf>
    <xf numFmtId="0" fontId="9" fillId="0" borderId="0" xfId="3" applyFont="1" applyAlignment="1">
      <alignment horizontal="left" vertical="center" wrapText="1"/>
    </xf>
    <xf numFmtId="169" fontId="3" fillId="0" borderId="0" xfId="0" applyNumberFormat="1" applyFont="1"/>
    <xf numFmtId="9" fontId="0" fillId="0" borderId="0" xfId="2" applyFont="1"/>
    <xf numFmtId="171" fontId="2" fillId="0" borderId="0" xfId="0" applyNumberFormat="1" applyFont="1"/>
    <xf numFmtId="1" fontId="0" fillId="0" borderId="0" xfId="0" applyNumberFormat="1"/>
    <xf numFmtId="8" fontId="3" fillId="0" borderId="0" xfId="0" applyNumberFormat="1" applyFont="1"/>
    <xf numFmtId="0" fontId="10" fillId="0" borderId="0" xfId="3" applyFont="1" applyAlignment="1">
      <alignment horizontal="justify" vertical="center"/>
    </xf>
    <xf numFmtId="0" fontId="5" fillId="0" borderId="0" xfId="0" applyFont="1"/>
    <xf numFmtId="166" fontId="6" fillId="0" borderId="0" xfId="0" applyNumberFormat="1" applyFont="1" applyProtection="1">
      <protection locked="0"/>
    </xf>
    <xf numFmtId="6" fontId="3" fillId="0" borderId="0" xfId="0" applyNumberFormat="1" applyFont="1"/>
    <xf numFmtId="1" fontId="2" fillId="0" borderId="0" xfId="0" applyNumberFormat="1" applyFont="1"/>
    <xf numFmtId="2" fontId="0" fillId="0" borderId="0" xfId="0" applyNumberFormat="1"/>
    <xf numFmtId="165" fontId="0" fillId="0" borderId="0" xfId="2" applyNumberFormat="1" applyFont="1"/>
    <xf numFmtId="165" fontId="2" fillId="0" borderId="0" xfId="2" applyNumberFormat="1"/>
    <xf numFmtId="0" fontId="3" fillId="0" borderId="0" xfId="0" applyFont="1" applyAlignment="1">
      <alignment horizontal="center"/>
    </xf>
    <xf numFmtId="8" fontId="2" fillId="0" borderId="0" xfId="0" applyNumberFormat="1" applyFont="1"/>
    <xf numFmtId="2" fontId="2" fillId="0" borderId="0" xfId="0" applyNumberFormat="1" applyFont="1"/>
    <xf numFmtId="8" fontId="0" fillId="0" borderId="0" xfId="0" applyNumberFormat="1"/>
    <xf numFmtId="10" fontId="2" fillId="0" borderId="0" xfId="2" applyNumberFormat="1"/>
    <xf numFmtId="9" fontId="3" fillId="0" borderId="0" xfId="2" applyFont="1"/>
    <xf numFmtId="169" fontId="3"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7" fillId="0" borderId="0" xfId="7" applyFont="1"/>
    <xf numFmtId="0" fontId="12" fillId="0" borderId="0" xfId="0" applyFont="1" applyProtection="1">
      <protection locked="0"/>
    </xf>
    <xf numFmtId="0" fontId="7" fillId="0" borderId="0" xfId="7" applyFont="1" applyAlignment="1">
      <alignment horizontal="center"/>
    </xf>
    <xf numFmtId="177" fontId="7" fillId="0" borderId="0" xfId="4" applyNumberFormat="1" applyProtection="1">
      <protection locked="0"/>
    </xf>
    <xf numFmtId="0" fontId="7" fillId="0" borderId="0" xfId="0" applyFont="1"/>
    <xf numFmtId="174" fontId="7" fillId="0" borderId="0" xfId="0" applyNumberFormat="1" applyFont="1"/>
    <xf numFmtId="9" fontId="12" fillId="0" borderId="0" xfId="6" applyFont="1" applyProtection="1">
      <protection locked="0"/>
    </xf>
    <xf numFmtId="3" fontId="7" fillId="0" borderId="0" xfId="0" applyNumberFormat="1" applyFont="1" applyAlignment="1" applyProtection="1">
      <alignment horizontal="right"/>
      <protection locked="0"/>
    </xf>
    <xf numFmtId="0" fontId="7" fillId="0" borderId="0" xfId="0" applyFont="1" applyAlignment="1">
      <alignment horizontal="center"/>
    </xf>
    <xf numFmtId="3" fontId="7" fillId="0" borderId="0" xfId="0" applyNumberFormat="1" applyFont="1"/>
    <xf numFmtId="177" fontId="7" fillId="0" borderId="0" xfId="4" applyNumberFormat="1"/>
    <xf numFmtId="178" fontId="7" fillId="0" borderId="0" xfId="0" applyNumberFormat="1" applyFont="1"/>
    <xf numFmtId="177" fontId="7" fillId="0" borderId="0" xfId="0" applyNumberFormat="1" applyFont="1"/>
    <xf numFmtId="0" fontId="1" fillId="0" borderId="0" xfId="7" applyFont="1"/>
    <xf numFmtId="0" fontId="1" fillId="0" borderId="0" xfId="7" applyFont="1" applyAlignment="1">
      <alignment horizontal="center"/>
    </xf>
    <xf numFmtId="2" fontId="1" fillId="0" borderId="0" xfId="0" applyNumberFormat="1" applyFont="1"/>
    <xf numFmtId="8" fontId="7" fillId="0" borderId="0" xfId="0" applyNumberFormat="1" applyFont="1"/>
    <xf numFmtId="7" fontId="0" fillId="0" borderId="0" xfId="0" applyNumberFormat="1"/>
    <xf numFmtId="8" fontId="1" fillId="0" borderId="0" xfId="0" applyNumberFormat="1" applyFont="1"/>
    <xf numFmtId="7" fontId="1" fillId="0" borderId="0" xfId="0" applyNumberFormat="1" applyFont="1"/>
    <xf numFmtId="7" fontId="7" fillId="0" borderId="0" xfId="0" applyNumberFormat="1" applyFont="1"/>
    <xf numFmtId="168" fontId="1" fillId="0" borderId="0" xfId="0" applyNumberFormat="1" applyFont="1"/>
    <xf numFmtId="165" fontId="1" fillId="0" borderId="0" xfId="0" applyNumberFormat="1" applyFont="1"/>
    <xf numFmtId="0" fontId="7" fillId="0" borderId="0" xfId="0" applyFont="1" applyAlignment="1">
      <alignment horizontal="right"/>
    </xf>
    <xf numFmtId="179" fontId="0" fillId="0" borderId="0" xfId="0" applyNumberFormat="1"/>
    <xf numFmtId="174" fontId="13" fillId="0" borderId="0" xfId="0" applyNumberFormat="1" applyFont="1" applyProtection="1">
      <protection locked="0"/>
    </xf>
    <xf numFmtId="0" fontId="13" fillId="0" borderId="0" xfId="0" applyFont="1" applyProtection="1">
      <protection locked="0"/>
    </xf>
    <xf numFmtId="0" fontId="7" fillId="0" borderId="0" xfId="0" applyFont="1" applyAlignment="1">
      <alignment horizontal="left"/>
    </xf>
    <xf numFmtId="165" fontId="1" fillId="0" borderId="0" xfId="2" applyNumberFormat="1" applyFont="1" applyAlignment="1">
      <alignment horizontal="left"/>
    </xf>
    <xf numFmtId="164" fontId="7" fillId="0" borderId="0" xfId="2" applyNumberFormat="1" applyFont="1"/>
    <xf numFmtId="164" fontId="2" fillId="0" borderId="0" xfId="2" applyNumberFormat="1"/>
    <xf numFmtId="0" fontId="14" fillId="0" borderId="0" xfId="0" applyFont="1"/>
    <xf numFmtId="180" fontId="0" fillId="0" borderId="0" xfId="0" applyNumberFormat="1"/>
    <xf numFmtId="166" fontId="3" fillId="0" borderId="3" xfId="0" applyNumberFormat="1" applyFont="1" applyBorder="1"/>
    <xf numFmtId="0" fontId="1" fillId="2" borderId="0" xfId="7" applyFont="1" applyFill="1"/>
    <xf numFmtId="168" fontId="1" fillId="2" borderId="0" xfId="0" applyNumberFormat="1" applyFont="1" applyFill="1"/>
    <xf numFmtId="0" fontId="17" fillId="0" borderId="0" xfId="0" applyFont="1"/>
    <xf numFmtId="0" fontId="16" fillId="0" borderId="0" xfId="0" applyFont="1"/>
    <xf numFmtId="0" fontId="18" fillId="0" borderId="0" xfId="0" applyFont="1" applyAlignment="1">
      <alignment horizontal="center"/>
    </xf>
    <xf numFmtId="174" fontId="19" fillId="0" borderId="3" xfId="0" applyNumberFormat="1" applyFont="1" applyBorder="1" applyProtection="1">
      <protection locked="0"/>
    </xf>
    <xf numFmtId="0" fontId="16" fillId="0" borderId="0" xfId="0" applyFont="1" applyAlignment="1">
      <alignment horizontal="center"/>
    </xf>
    <xf numFmtId="0" fontId="18" fillId="0" borderId="0" xfId="0" applyFont="1"/>
    <xf numFmtId="174" fontId="21" fillId="0" borderId="0" xfId="0" applyNumberFormat="1" applyFont="1" applyAlignment="1">
      <alignment horizontal="left"/>
    </xf>
    <xf numFmtId="0" fontId="15" fillId="0" borderId="0" xfId="0" applyFont="1"/>
    <xf numFmtId="166" fontId="24" fillId="0" borderId="0" xfId="1" applyNumberFormat="1" applyFont="1" applyProtection="1">
      <protection locked="0"/>
    </xf>
    <xf numFmtId="0" fontId="20" fillId="0" borderId="0" xfId="0" applyFont="1" applyProtection="1">
      <protection locked="0"/>
    </xf>
    <xf numFmtId="168" fontId="24" fillId="0" borderId="0" xfId="1" applyNumberFormat="1" applyFont="1" applyProtection="1">
      <protection locked="0"/>
    </xf>
    <xf numFmtId="166" fontId="16" fillId="0" borderId="0" xfId="0" applyNumberFormat="1" applyFont="1" applyAlignment="1">
      <alignment horizontal="right"/>
    </xf>
    <xf numFmtId="166" fontId="18" fillId="0" borderId="0" xfId="0" applyNumberFormat="1" applyFont="1"/>
    <xf numFmtId="165" fontId="18" fillId="0" borderId="0" xfId="2" applyNumberFormat="1" applyFont="1"/>
    <xf numFmtId="1" fontId="16" fillId="0" borderId="0" xfId="0" applyNumberFormat="1" applyFont="1"/>
    <xf numFmtId="164" fontId="24" fillId="0" borderId="0" xfId="2" applyNumberFormat="1" applyFont="1" applyProtection="1">
      <protection locked="0"/>
    </xf>
    <xf numFmtId="168" fontId="18" fillId="0" borderId="0" xfId="0" applyNumberFormat="1" applyFont="1"/>
    <xf numFmtId="166" fontId="24" fillId="0" borderId="3" xfId="1" applyNumberFormat="1" applyFont="1" applyBorder="1" applyProtection="1">
      <protection locked="0"/>
    </xf>
    <xf numFmtId="170" fontId="18" fillId="0" borderId="0" xfId="0" applyNumberFormat="1" applyFont="1"/>
    <xf numFmtId="171" fontId="21" fillId="0" borderId="0" xfId="0" applyNumberFormat="1" applyFont="1"/>
    <xf numFmtId="166" fontId="18" fillId="0" borderId="0" xfId="1" applyNumberFormat="1" applyFont="1"/>
    <xf numFmtId="171" fontId="16" fillId="0" borderId="0" xfId="0" applyNumberFormat="1" applyFont="1"/>
    <xf numFmtId="168" fontId="16" fillId="0" borderId="0" xfId="0" applyNumberFormat="1" applyFont="1"/>
    <xf numFmtId="166" fontId="16" fillId="0" borderId="0" xfId="0" applyNumberFormat="1" applyFont="1"/>
    <xf numFmtId="2" fontId="24" fillId="0" borderId="0" xfId="2" applyNumberFormat="1" applyFont="1" applyProtection="1">
      <protection locked="0"/>
    </xf>
    <xf numFmtId="171" fontId="18" fillId="0" borderId="0" xfId="0" applyNumberFormat="1" applyFont="1"/>
    <xf numFmtId="164" fontId="16" fillId="0" borderId="0" xfId="0" applyNumberFormat="1" applyFont="1"/>
    <xf numFmtId="176" fontId="18" fillId="0" borderId="0" xfId="0" applyNumberFormat="1" applyFont="1"/>
    <xf numFmtId="0" fontId="18" fillId="2" borderId="0" xfId="0" applyFont="1" applyFill="1"/>
    <xf numFmtId="166" fontId="18" fillId="2" borderId="0" xfId="0" applyNumberFormat="1" applyFont="1" applyFill="1"/>
    <xf numFmtId="168" fontId="18" fillId="0" borderId="2" xfId="0" applyNumberFormat="1" applyFont="1" applyBorder="1"/>
    <xf numFmtId="44" fontId="16" fillId="0" borderId="0" xfId="0" applyNumberFormat="1" applyFont="1"/>
    <xf numFmtId="9" fontId="16" fillId="0" borderId="0" xfId="0" applyNumberFormat="1" applyFont="1"/>
    <xf numFmtId="170" fontId="16" fillId="0" borderId="0" xfId="0" applyNumberFormat="1" applyFont="1"/>
    <xf numFmtId="10" fontId="16" fillId="0" borderId="0" xfId="0" applyNumberFormat="1" applyFont="1"/>
    <xf numFmtId="164" fontId="18" fillId="0" borderId="0" xfId="0" applyNumberFormat="1" applyFont="1" applyAlignment="1">
      <alignment horizontal="right"/>
    </xf>
    <xf numFmtId="169" fontId="18" fillId="0" borderId="0" xfId="0" applyNumberFormat="1" applyFont="1"/>
    <xf numFmtId="166" fontId="18" fillId="0" borderId="2" xfId="0" applyNumberFormat="1" applyFont="1" applyBorder="1"/>
    <xf numFmtId="170" fontId="17" fillId="0" borderId="1" xfId="0" applyNumberFormat="1" applyFont="1" applyBorder="1"/>
    <xf numFmtId="0" fontId="22" fillId="0" borderId="0" xfId="0" applyFont="1"/>
    <xf numFmtId="170" fontId="22" fillId="0" borderId="0" xfId="0" applyNumberFormat="1" applyFont="1"/>
    <xf numFmtId="168" fontId="16" fillId="0" borderId="0" xfId="0" applyNumberFormat="1" applyFont="1" applyAlignment="1">
      <alignment horizontal="right"/>
    </xf>
    <xf numFmtId="168" fontId="17" fillId="0" borderId="0" xfId="0" applyNumberFormat="1" applyFont="1"/>
    <xf numFmtId="165" fontId="18" fillId="2" borderId="0" xfId="2" applyNumberFormat="1" applyFont="1" applyFill="1" applyAlignment="1">
      <alignment horizontal="right"/>
    </xf>
    <xf numFmtId="168" fontId="18" fillId="2" borderId="0" xfId="0" applyNumberFormat="1" applyFont="1" applyFill="1"/>
    <xf numFmtId="165" fontId="18" fillId="0" borderId="0" xfId="2" applyNumberFormat="1" applyFont="1" applyAlignment="1">
      <alignment horizontal="right"/>
    </xf>
    <xf numFmtId="0" fontId="18" fillId="0" borderId="0" xfId="0" applyFont="1" applyAlignment="1">
      <alignment horizontal="right"/>
    </xf>
    <xf numFmtId="166" fontId="18" fillId="0" borderId="0" xfId="2" applyNumberFormat="1" applyFont="1" applyAlignment="1">
      <alignment horizontal="right"/>
    </xf>
    <xf numFmtId="173" fontId="18" fillId="0" borderId="0" xfId="0" applyNumberFormat="1" applyFont="1"/>
    <xf numFmtId="0" fontId="23" fillId="0" borderId="8" xfId="0" applyFont="1" applyBorder="1"/>
    <xf numFmtId="165" fontId="18" fillId="0" borderId="8" xfId="2" applyNumberFormat="1" applyFont="1" applyBorder="1"/>
    <xf numFmtId="0" fontId="18" fillId="0" borderId="8" xfId="0" applyFont="1" applyBorder="1"/>
    <xf numFmtId="165" fontId="18" fillId="0" borderId="0" xfId="2" applyNumberFormat="1" applyFont="1" applyAlignment="1">
      <alignment horizontal="center"/>
    </xf>
    <xf numFmtId="166" fontId="24" fillId="0" borderId="0" xfId="2" applyNumberFormat="1" applyFont="1" applyProtection="1">
      <protection locked="0"/>
    </xf>
    <xf numFmtId="166" fontId="17" fillId="0" borderId="0" xfId="0" applyNumberFormat="1" applyFont="1"/>
    <xf numFmtId="8" fontId="18" fillId="0" borderId="0" xfId="0" applyNumberFormat="1" applyFont="1"/>
    <xf numFmtId="9" fontId="18" fillId="0" borderId="0" xfId="2" applyFont="1"/>
    <xf numFmtId="9" fontId="16" fillId="0" borderId="0" xfId="2" applyFont="1"/>
    <xf numFmtId="171" fontId="17" fillId="0" borderId="0" xfId="0" applyNumberFormat="1" applyFont="1"/>
    <xf numFmtId="0" fontId="18" fillId="2" borderId="0" xfId="0" applyFont="1" applyFill="1" applyAlignment="1">
      <alignment horizontal="left"/>
    </xf>
    <xf numFmtId="8" fontId="18" fillId="2" borderId="0" xfId="0" applyNumberFormat="1" applyFont="1" applyFill="1"/>
    <xf numFmtId="0" fontId="18" fillId="0" borderId="0" xfId="0" quotePrefix="1" applyFont="1"/>
    <xf numFmtId="0" fontId="18" fillId="0" borderId="7" xfId="0" applyFont="1" applyBorder="1"/>
    <xf numFmtId="167" fontId="18" fillId="0" borderId="0" xfId="0" applyNumberFormat="1" applyFont="1"/>
    <xf numFmtId="10" fontId="18" fillId="0" borderId="0" xfId="0" applyNumberFormat="1" applyFont="1"/>
    <xf numFmtId="175" fontId="16" fillId="0" borderId="0" xfId="0" applyNumberFormat="1" applyFont="1"/>
    <xf numFmtId="172" fontId="18" fillId="0" borderId="0" xfId="0" applyNumberFormat="1" applyFont="1"/>
    <xf numFmtId="0" fontId="26" fillId="0" borderId="0" xfId="0" applyFont="1"/>
    <xf numFmtId="169" fontId="16" fillId="0" borderId="0" xfId="0" applyNumberFormat="1" applyFont="1"/>
    <xf numFmtId="8" fontId="16" fillId="0" borderId="0" xfId="0" applyNumberFormat="1" applyFont="1"/>
    <xf numFmtId="0" fontId="3" fillId="0" borderId="0" xfId="0" applyFont="1" applyProtection="1">
      <protection locked="0"/>
    </xf>
    <xf numFmtId="15" fontId="7" fillId="0" borderId="0" xfId="0" applyNumberFormat="1" applyFont="1"/>
    <xf numFmtId="0" fontId="2" fillId="0" borderId="0" xfId="0" applyFont="1" applyProtection="1">
      <protection locked="0"/>
    </xf>
    <xf numFmtId="168" fontId="16" fillId="0" borderId="1" xfId="0" applyNumberFormat="1" applyFont="1" applyBorder="1"/>
    <xf numFmtId="168" fontId="3" fillId="0" borderId="0" xfId="0" applyNumberFormat="1" applyFont="1"/>
    <xf numFmtId="0" fontId="1" fillId="0" borderId="0" xfId="0" applyFont="1" applyAlignment="1">
      <alignment horizontal="center"/>
    </xf>
    <xf numFmtId="0" fontId="1" fillId="0" borderId="0" xfId="0" applyFont="1"/>
    <xf numFmtId="0" fontId="0" fillId="0" borderId="0" xfId="0"/>
    <xf numFmtId="0" fontId="1" fillId="0" borderId="0" xfId="0" applyFont="1" applyAlignment="1">
      <alignment horizontal="center"/>
    </xf>
    <xf numFmtId="0" fontId="0" fillId="0" borderId="0" xfId="0"/>
    <xf numFmtId="179" fontId="7" fillId="0" borderId="0" xfId="0" applyNumberFormat="1" applyFont="1"/>
    <xf numFmtId="0" fontId="0" fillId="0" borderId="0" xfId="0"/>
    <xf numFmtId="166" fontId="1" fillId="0" borderId="0" xfId="0" applyNumberFormat="1" applyFont="1"/>
    <xf numFmtId="0" fontId="1" fillId="2" borderId="0" xfId="0" applyFont="1" applyFill="1"/>
    <xf numFmtId="0" fontId="0" fillId="2" borderId="0" xfId="0" applyFill="1"/>
    <xf numFmtId="0" fontId="6" fillId="0" borderId="0" xfId="0" applyFont="1" applyProtection="1">
      <protection locked="0"/>
    </xf>
    <xf numFmtId="0" fontId="1" fillId="0" borderId="0" xfId="0" applyFont="1" applyAlignment="1">
      <alignment horizontal="center"/>
    </xf>
    <xf numFmtId="0" fontId="17" fillId="0" borderId="0" xfId="0" applyFont="1"/>
    <xf numFmtId="0" fontId="0" fillId="0" borderId="0" xfId="0" applyAlignment="1">
      <alignment horizontal="center"/>
    </xf>
    <xf numFmtId="0" fontId="1" fillId="0" borderId="0" xfId="0" applyFont="1"/>
    <xf numFmtId="0" fontId="0" fillId="0" borderId="0" xfId="0"/>
    <xf numFmtId="174" fontId="28" fillId="0" borderId="3" xfId="0" applyNumberFormat="1" applyFont="1" applyBorder="1" applyProtection="1">
      <protection locked="0"/>
    </xf>
    <xf numFmtId="0" fontId="1" fillId="0" borderId="0" xfId="0" applyFont="1" applyAlignment="1">
      <alignment horizontal="right"/>
    </xf>
    <xf numFmtId="0" fontId="27"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8" fillId="0" borderId="0" xfId="0" applyFont="1" applyAlignment="1" applyProtection="1">
      <alignment horizontal="right"/>
      <protection locked="0"/>
    </xf>
    <xf numFmtId="0" fontId="3" fillId="0" borderId="0" xfId="0" applyFont="1" applyAlignment="1">
      <alignment horizontal="center"/>
    </xf>
    <xf numFmtId="0" fontId="3" fillId="0" borderId="0" xfId="0" applyFont="1" applyAlignment="1">
      <alignment horizontal="center"/>
    </xf>
    <xf numFmtId="0" fontId="1" fillId="0" borderId="0" xfId="0" applyFont="1"/>
    <xf numFmtId="1" fontId="1" fillId="0" borderId="9" xfId="0" applyNumberFormat="1" applyFont="1" applyBorder="1" applyProtection="1"/>
    <xf numFmtId="165" fontId="16" fillId="0" borderId="0" xfId="0" applyNumberFormat="1" applyFont="1"/>
    <xf numFmtId="0" fontId="23" fillId="0" borderId="0" xfId="0" applyFont="1" applyAlignment="1">
      <alignment horizontal="center"/>
    </xf>
    <xf numFmtId="14" fontId="16" fillId="0" borderId="0" xfId="0" applyNumberFormat="1" applyFont="1"/>
    <xf numFmtId="0" fontId="13" fillId="0" borderId="0" xfId="0" applyFont="1" applyAlignment="1" applyProtection="1">
      <alignment wrapText="1"/>
      <protection locked="0"/>
    </xf>
    <xf numFmtId="0" fontId="3" fillId="2" borderId="8" xfId="0" applyFont="1" applyFill="1" applyBorder="1"/>
    <xf numFmtId="166" fontId="18" fillId="2" borderId="8" xfId="0" applyNumberFormat="1" applyFont="1" applyFill="1" applyBorder="1"/>
    <xf numFmtId="168" fontId="18" fillId="2" borderId="8" xfId="0" quotePrefix="1" applyNumberFormat="1" applyFont="1" applyFill="1" applyBorder="1"/>
    <xf numFmtId="1" fontId="3" fillId="0" borderId="0" xfId="0" applyNumberFormat="1" applyFont="1"/>
    <xf numFmtId="168" fontId="3" fillId="0" borderId="0" xfId="1" applyNumberFormat="1" applyFont="1"/>
    <xf numFmtId="1" fontId="3" fillId="0" borderId="0" xfId="1" applyNumberFormat="1" applyFont="1"/>
    <xf numFmtId="0" fontId="19" fillId="0" borderId="4" xfId="0" applyFont="1" applyBorder="1" applyAlignment="1" applyProtection="1">
      <alignment horizontal="left"/>
      <protection locked="0"/>
    </xf>
    <xf numFmtId="0" fontId="17" fillId="0" borderId="5" xfId="0" applyFont="1" applyBorder="1"/>
    <xf numFmtId="0" fontId="17" fillId="0" borderId="6" xfId="0" applyFont="1" applyBorder="1"/>
    <xf numFmtId="0" fontId="17" fillId="0" borderId="0" xfId="0" applyFont="1"/>
    <xf numFmtId="174" fontId="2" fillId="0" borderId="0" xfId="0" applyNumberFormat="1" applyFont="1" applyProtection="1">
      <protection locked="0"/>
    </xf>
    <xf numFmtId="38" fontId="31" fillId="0" borderId="0" xfId="0" applyNumberFormat="1" applyFont="1"/>
    <xf numFmtId="177" fontId="2" fillId="0" borderId="0" xfId="8" applyNumberFormat="1" applyFont="1"/>
    <xf numFmtId="38" fontId="3" fillId="0" borderId="0" xfId="0" applyNumberFormat="1" applyFont="1"/>
    <xf numFmtId="181" fontId="31" fillId="0" borderId="3" xfId="0" applyNumberFormat="1" applyFont="1" applyBorder="1" applyProtection="1">
      <protection locked="0"/>
    </xf>
    <xf numFmtId="181" fontId="31" fillId="0" borderId="10" xfId="0" applyNumberFormat="1" applyFont="1" applyBorder="1" applyProtection="1">
      <protection locked="0"/>
    </xf>
    <xf numFmtId="8" fontId="3" fillId="0" borderId="0" xfId="0" applyNumberFormat="1" applyFont="1" applyAlignment="1">
      <alignment horizontal="left"/>
    </xf>
    <xf numFmtId="40" fontId="3" fillId="0" borderId="0" xfId="0" applyNumberFormat="1" applyFont="1"/>
    <xf numFmtId="164" fontId="3" fillId="0" borderId="0" xfId="0" applyNumberFormat="1" applyFont="1"/>
    <xf numFmtId="0" fontId="0" fillId="0" borderId="0" xfId="0"/>
    <xf numFmtId="38" fontId="19" fillId="0" borderId="3" xfId="0" applyNumberFormat="1" applyFont="1" applyBorder="1" applyProtection="1">
      <protection locked="0"/>
    </xf>
    <xf numFmtId="168" fontId="17" fillId="0" borderId="1" xfId="0" applyNumberFormat="1" applyFont="1" applyBorder="1"/>
    <xf numFmtId="179" fontId="7" fillId="0" borderId="0" xfId="4" applyNumberFormat="1" applyProtection="1"/>
    <xf numFmtId="40" fontId="31" fillId="0" borderId="3" xfId="0" applyNumberFormat="1" applyFont="1" applyBorder="1" applyProtection="1">
      <protection locked="0"/>
    </xf>
    <xf numFmtId="38" fontId="3" fillId="0" borderId="0" xfId="0" applyNumberFormat="1" applyFont="1" applyBorder="1" applyProtection="1"/>
    <xf numFmtId="169" fontId="3" fillId="0" borderId="0" xfId="0" applyNumberFormat="1" applyFont="1" applyAlignment="1">
      <alignment horizontal="right"/>
    </xf>
    <xf numFmtId="0" fontId="1" fillId="0" borderId="0" xfId="7" applyFont="1" applyFill="1"/>
    <xf numFmtId="0" fontId="1" fillId="0" borderId="0" xfId="0" applyFont="1" applyFill="1"/>
    <xf numFmtId="7" fontId="1" fillId="0" borderId="0" xfId="0" applyNumberFormat="1" applyFont="1" applyFill="1"/>
    <xf numFmtId="0" fontId="3" fillId="2" borderId="0" xfId="0" applyFont="1" applyFill="1"/>
    <xf numFmtId="168" fontId="3" fillId="2" borderId="0" xfId="0" applyNumberFormat="1" applyFont="1" applyFill="1"/>
    <xf numFmtId="179" fontId="1" fillId="0" borderId="0" xfId="0" applyNumberFormat="1" applyFont="1" applyFill="1"/>
    <xf numFmtId="8" fontId="1" fillId="2" borderId="0" xfId="0" applyNumberFormat="1" applyFont="1" applyFill="1"/>
    <xf numFmtId="0" fontId="1" fillId="0" borderId="0" xfId="0" applyFont="1" applyAlignment="1">
      <alignment horizontal="center"/>
    </xf>
    <xf numFmtId="0" fontId="1" fillId="0" borderId="0" xfId="0" applyFont="1"/>
    <xf numFmtId="0" fontId="0" fillId="0" borderId="0" xfId="0"/>
    <xf numFmtId="166" fontId="3" fillId="0" borderId="0" xfId="0" applyNumberFormat="1" applyFont="1" applyAlignment="1">
      <alignment horizontal="right"/>
    </xf>
    <xf numFmtId="166" fontId="2" fillId="0" borderId="3" xfId="0" applyNumberFormat="1" applyFont="1" applyBorder="1"/>
    <xf numFmtId="0" fontId="1" fillId="0" borderId="0" xfId="0" applyFont="1"/>
    <xf numFmtId="0" fontId="0" fillId="0" borderId="0" xfId="0"/>
    <xf numFmtId="0" fontId="0" fillId="0" borderId="0" xfId="0"/>
    <xf numFmtId="0" fontId="25" fillId="0" borderId="0" xfId="0" applyFont="1" applyFill="1" applyBorder="1"/>
    <xf numFmtId="166" fontId="1" fillId="0" borderId="0" xfId="0" applyNumberFormat="1" applyFont="1" applyAlignment="1">
      <alignment horizontal="right"/>
    </xf>
    <xf numFmtId="165" fontId="1" fillId="0" borderId="0" xfId="2" applyNumberFormat="1" applyFont="1"/>
    <xf numFmtId="0" fontId="9" fillId="0" borderId="0" xfId="3" applyFont="1"/>
    <xf numFmtId="0" fontId="10" fillId="0" borderId="0" xfId="0" applyFont="1"/>
    <xf numFmtId="179" fontId="1" fillId="2" borderId="0" xfId="0" applyNumberFormat="1" applyFont="1" applyFill="1"/>
    <xf numFmtId="168" fontId="24" fillId="0" borderId="3" xfId="1" applyNumberFormat="1" applyFont="1" applyBorder="1" applyProtection="1">
      <protection locked="0"/>
    </xf>
    <xf numFmtId="0" fontId="1" fillId="0" borderId="0" xfId="0" applyFont="1"/>
    <xf numFmtId="0" fontId="0" fillId="0" borderId="0" xfId="0"/>
    <xf numFmtId="168" fontId="3" fillId="0" borderId="11" xfId="1" applyNumberFormat="1" applyFont="1" applyBorder="1" applyProtection="1"/>
    <xf numFmtId="0" fontId="0" fillId="0" borderId="0" xfId="0"/>
    <xf numFmtId="0" fontId="5" fillId="0" borderId="0" xfId="0" applyFont="1" applyFill="1" applyBorder="1"/>
    <xf numFmtId="0" fontId="7" fillId="0" borderId="0" xfId="7" applyFont="1" applyFill="1"/>
    <xf numFmtId="0" fontId="33" fillId="0" borderId="0" xfId="0" applyFont="1"/>
    <xf numFmtId="181" fontId="3" fillId="0" borderId="0" xfId="0" applyNumberFormat="1" applyFont="1"/>
    <xf numFmtId="0" fontId="19" fillId="0" borderId="4" xfId="0" applyFont="1" applyBorder="1" applyAlignment="1" applyProtection="1">
      <alignment horizontal="left"/>
      <protection locked="0"/>
    </xf>
    <xf numFmtId="0" fontId="17" fillId="0" borderId="5" xfId="0" applyFont="1" applyBorder="1"/>
    <xf numFmtId="0" fontId="17" fillId="0" borderId="6" xfId="0" applyFont="1" applyBorder="1"/>
    <xf numFmtId="0" fontId="1" fillId="0" borderId="0" xfId="0" applyFont="1" applyAlignment="1">
      <alignment horizontal="center"/>
    </xf>
    <xf numFmtId="0" fontId="0" fillId="0" borderId="0" xfId="0" applyAlignment="1">
      <alignment horizontal="center"/>
    </xf>
    <xf numFmtId="165" fontId="18" fillId="0" borderId="0" xfId="2" applyNumberFormat="1" applyFont="1" applyAlignment="1">
      <alignment horizontal="center"/>
    </xf>
    <xf numFmtId="0" fontId="17" fillId="0" borderId="0" xfId="0" applyFont="1"/>
    <xf numFmtId="165" fontId="21" fillId="0" borderId="0" xfId="2" applyNumberFormat="1" applyFont="1" applyAlignment="1">
      <alignment horizontal="left"/>
    </xf>
    <xf numFmtId="0" fontId="22" fillId="0" borderId="0" xfId="0" applyFont="1" applyAlignment="1">
      <alignment horizontal="left"/>
    </xf>
    <xf numFmtId="0" fontId="28" fillId="0" borderId="4" xfId="0" applyFont="1" applyBorder="1" applyAlignment="1" applyProtection="1">
      <alignment horizontal="left"/>
      <protection locked="0"/>
    </xf>
    <xf numFmtId="0" fontId="29" fillId="0" borderId="5" xfId="0" applyFont="1" applyBorder="1" applyAlignment="1" applyProtection="1">
      <alignment horizontal="left"/>
      <protection locked="0"/>
    </xf>
    <xf numFmtId="0" fontId="29" fillId="0" borderId="6" xfId="0" applyFont="1" applyBorder="1" applyAlignment="1" applyProtection="1">
      <alignment horizontal="left"/>
      <protection locked="0"/>
    </xf>
    <xf numFmtId="0" fontId="27" fillId="0" borderId="4"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lignment horizontal="left"/>
    </xf>
    <xf numFmtId="0" fontId="3" fillId="0" borderId="0" xfId="0" applyFont="1" applyAlignment="1">
      <alignment horizontal="center"/>
    </xf>
    <xf numFmtId="0" fontId="1" fillId="0" borderId="0" xfId="0" applyFont="1"/>
    <xf numFmtId="0" fontId="0" fillId="0" borderId="0" xfId="0"/>
    <xf numFmtId="0" fontId="11" fillId="0" borderId="0" xfId="0" applyFont="1" applyAlignment="1">
      <alignment horizontal="center"/>
    </xf>
    <xf numFmtId="174" fontId="13" fillId="0" borderId="0" xfId="0" applyNumberFormat="1" applyFont="1" applyAlignment="1" applyProtection="1">
      <protection locked="0"/>
    </xf>
    <xf numFmtId="0" fontId="6" fillId="0" borderId="0" xfId="0" applyFont="1" applyAlignment="1" applyProtection="1">
      <protection locked="0"/>
    </xf>
    <xf numFmtId="0" fontId="0" fillId="0" borderId="0" xfId="0" applyAlignment="1"/>
  </cellXfs>
  <cellStyles count="9">
    <cellStyle name="Comma" xfId="8" builtinId="3"/>
    <cellStyle name="Comma 2" xfId="4" xr:uid="{00000000-0005-0000-0000-000000000000}"/>
    <cellStyle name="Currency" xfId="1" builtinId="4"/>
    <cellStyle name="Currency 2" xfId="5" xr:uid="{00000000-0005-0000-0000-000002000000}"/>
    <cellStyle name="Normal" xfId="0" builtinId="0"/>
    <cellStyle name="Normal 2" xfId="3" xr:uid="{00000000-0005-0000-0000-000004000000}"/>
    <cellStyle name="Normal_Sheet1" xfId="7" xr:uid="{00000000-0005-0000-0000-000005000000}"/>
    <cellStyle name="Percent" xfId="2" builtinId="5"/>
    <cellStyle name="Percent 2" xfId="6" xr:uid="{00000000-0005-0000-0000-000007000000}"/>
  </cellStyles>
  <dxfs count="0"/>
  <tableStyles count="0" defaultTableStyle="TableStyleMedium2" defaultPivotStyle="PivotStyleLight16"/>
  <colors>
    <mruColors>
      <color rgb="FF0000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253815</xdr:colOff>
      <xdr:row>0</xdr:row>
      <xdr:rowOff>141515</xdr:rowOff>
    </xdr:from>
    <xdr:to>
      <xdr:col>10</xdr:col>
      <xdr:colOff>528432</xdr:colOff>
      <xdr:row>2</xdr:row>
      <xdr:rowOff>127852</xdr:rowOff>
    </xdr:to>
    <xdr:pic>
      <xdr:nvPicPr>
        <xdr:cNvPr id="2" name="Picture 1" descr="TAMAgEXT">
          <a:extLst>
            <a:ext uri="{FF2B5EF4-FFF2-40B4-BE49-F238E27FC236}">
              <a16:creationId xmlns:a16="http://schemas.microsoft.com/office/drawing/2014/main" id="{42B0FADD-6706-49AD-8111-EF9342425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31858" y="141515"/>
          <a:ext cx="965860" cy="378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4"/>
  <sheetViews>
    <sheetView tabSelected="1" zoomScaleNormal="100" workbookViewId="0">
      <selection activeCell="A8" sqref="A8"/>
    </sheetView>
  </sheetViews>
  <sheetFormatPr defaultColWidth="8.69140625" defaultRowHeight="12.45" x14ac:dyDescent="0.3"/>
  <cols>
    <col min="1" max="1" width="3.4609375" style="77" customWidth="1"/>
    <col min="2" max="2" width="38.61328125" style="77" customWidth="1"/>
    <col min="3" max="3" width="12" style="77" customWidth="1"/>
    <col min="4" max="4" width="12.4609375" style="77" customWidth="1"/>
    <col min="5" max="5" width="29.765625" style="77" customWidth="1"/>
    <col min="6" max="6" width="11.3046875" style="77" customWidth="1"/>
    <col min="7" max="7" width="9" style="77" customWidth="1"/>
    <col min="8" max="8" width="7.23046875" style="77" customWidth="1"/>
    <col min="9" max="9" width="8.69140625" style="77"/>
    <col min="10" max="10" width="9.765625" style="77" bestFit="1" customWidth="1"/>
    <col min="11" max="11" width="8.69140625" style="77"/>
    <col min="12" max="12" width="28.3828125" style="77" customWidth="1"/>
    <col min="13" max="13" width="10.23046875" style="77" customWidth="1"/>
    <col min="14" max="16384" width="8.69140625" style="77"/>
  </cols>
  <sheetData>
    <row r="1" spans="2:12" ht="15.45" x14ac:dyDescent="0.4">
      <c r="B1" s="240" t="s">
        <v>237</v>
      </c>
      <c r="C1" s="241"/>
      <c r="D1" s="241"/>
      <c r="E1" s="241"/>
      <c r="F1" s="241"/>
      <c r="G1" s="241"/>
      <c r="H1" s="76" t="s">
        <v>38</v>
      </c>
    </row>
    <row r="2" spans="2:12" ht="15.45" x14ac:dyDescent="0.4">
      <c r="B2" s="162"/>
      <c r="C2" s="164"/>
      <c r="D2" s="164"/>
      <c r="E2" s="164"/>
      <c r="F2" s="164"/>
      <c r="G2" s="164"/>
      <c r="H2" s="163"/>
    </row>
    <row r="3" spans="2:12" ht="14.15" x14ac:dyDescent="0.35">
      <c r="B3" s="246" t="s">
        <v>238</v>
      </c>
      <c r="C3" s="247"/>
      <c r="D3" s="248"/>
      <c r="E3" s="173" t="s">
        <v>159</v>
      </c>
      <c r="F3" s="167">
        <v>44146</v>
      </c>
      <c r="G3" s="164"/>
      <c r="H3" s="163"/>
    </row>
    <row r="4" spans="2:12" ht="15.45" x14ac:dyDescent="0.4">
      <c r="B4" s="165"/>
      <c r="C4" s="166"/>
      <c r="D4" s="166"/>
      <c r="E4" s="166"/>
      <c r="F4" s="168" t="s">
        <v>49</v>
      </c>
      <c r="G4" s="164"/>
      <c r="H4" s="163"/>
      <c r="J4" s="179">
        <v>44201</v>
      </c>
      <c r="K4" s="2" t="s">
        <v>182</v>
      </c>
    </row>
    <row r="5" spans="2:12" ht="15.45" x14ac:dyDescent="0.4">
      <c r="B5" s="175" t="s">
        <v>149</v>
      </c>
      <c r="C5" s="169" t="s">
        <v>235</v>
      </c>
      <c r="D5" s="170"/>
      <c r="E5" s="171"/>
      <c r="F5" s="176">
        <f>D19</f>
        <v>56.666666666666664</v>
      </c>
      <c r="G5" s="164"/>
      <c r="H5" s="163"/>
    </row>
    <row r="6" spans="2:12" ht="14.15" x14ac:dyDescent="0.35">
      <c r="B6" s="172" t="s">
        <v>151</v>
      </c>
      <c r="C6" s="166"/>
      <c r="D6" s="79">
        <v>44146</v>
      </c>
      <c r="E6" s="172" t="s">
        <v>150</v>
      </c>
      <c r="F6" s="82">
        <f>D19+D6</f>
        <v>44202.666666666664</v>
      </c>
      <c r="G6" s="178" t="s">
        <v>167</v>
      </c>
      <c r="H6" s="163"/>
    </row>
    <row r="7" spans="2:12" ht="15" customHeight="1" x14ac:dyDescent="0.4">
      <c r="B7" s="83"/>
      <c r="D7" s="81"/>
      <c r="G7" s="178" t="s">
        <v>74</v>
      </c>
    </row>
    <row r="8" spans="2:12" ht="15.55" customHeight="1" x14ac:dyDescent="0.4">
      <c r="B8" s="249" t="s">
        <v>236</v>
      </c>
      <c r="C8" s="250"/>
      <c r="D8" s="250"/>
      <c r="E8" s="251"/>
      <c r="F8" s="3" t="s">
        <v>163</v>
      </c>
      <c r="G8" s="89">
        <f>C12/$F$37</f>
        <v>0.54993500910751381</v>
      </c>
      <c r="J8" s="3"/>
    </row>
    <row r="9" spans="2:12" ht="15.55" customHeight="1" x14ac:dyDescent="0.3">
      <c r="B9" s="2" t="s">
        <v>205</v>
      </c>
      <c r="C9" s="201">
        <v>85</v>
      </c>
      <c r="D9" s="11" t="s">
        <v>222</v>
      </c>
      <c r="E9" s="3" t="s">
        <v>153</v>
      </c>
    </row>
    <row r="10" spans="2:12" x14ac:dyDescent="0.3">
      <c r="B10" s="2" t="s">
        <v>223</v>
      </c>
      <c r="C10" s="231">
        <f>IF(C9=0,0,D10/C9*100)</f>
        <v>235.29411764705884</v>
      </c>
      <c r="D10" s="228">
        <v>200</v>
      </c>
      <c r="E10" s="161" t="s">
        <v>152</v>
      </c>
      <c r="F10" s="86">
        <v>0</v>
      </c>
      <c r="G10" s="81"/>
      <c r="I10" s="237" t="s">
        <v>168</v>
      </c>
      <c r="J10" s="238"/>
      <c r="K10" s="238"/>
      <c r="L10" s="239"/>
    </row>
    <row r="11" spans="2:12" x14ac:dyDescent="0.3">
      <c r="B11" s="2" t="s">
        <v>226</v>
      </c>
      <c r="C11" s="84">
        <v>0</v>
      </c>
      <c r="D11" s="87">
        <f>(C11/$C$9)*100</f>
        <v>0</v>
      </c>
      <c r="E11" s="85" t="s">
        <v>36</v>
      </c>
      <c r="F11" s="86">
        <v>0</v>
      </c>
    </row>
    <row r="12" spans="2:12" x14ac:dyDescent="0.3">
      <c r="B12" s="3" t="s">
        <v>224</v>
      </c>
      <c r="C12" s="88">
        <f>((C10+D11)*C9*0.01)</f>
        <v>200</v>
      </c>
      <c r="D12" s="217">
        <f>(C12/$C$9)*100</f>
        <v>235.29411764705884</v>
      </c>
      <c r="E12" s="85" t="s">
        <v>128</v>
      </c>
      <c r="F12" s="86">
        <v>0</v>
      </c>
    </row>
    <row r="13" spans="2:12" x14ac:dyDescent="0.3">
      <c r="D13" s="217"/>
      <c r="E13" s="85" t="s">
        <v>128</v>
      </c>
      <c r="F13" s="86">
        <v>0</v>
      </c>
    </row>
    <row r="14" spans="2:12" x14ac:dyDescent="0.3">
      <c r="B14" s="3" t="s">
        <v>225</v>
      </c>
      <c r="C14" s="228">
        <v>200</v>
      </c>
      <c r="E14" s="3" t="s">
        <v>157</v>
      </c>
      <c r="F14" s="88">
        <f>SUM(F10:F13)</f>
        <v>0</v>
      </c>
      <c r="G14" s="89">
        <f>F14/$F$37</f>
        <v>0</v>
      </c>
      <c r="I14" s="77" t="s">
        <v>6</v>
      </c>
      <c r="J14" s="76"/>
      <c r="K14" s="76"/>
      <c r="L14" s="76"/>
    </row>
    <row r="15" spans="2:12" x14ac:dyDescent="0.3">
      <c r="E15" s="146" t="s">
        <v>148</v>
      </c>
    </row>
    <row r="16" spans="2:12" x14ac:dyDescent="0.3">
      <c r="B16" s="3" t="s">
        <v>190</v>
      </c>
      <c r="D16" s="11"/>
      <c r="E16" s="2" t="s">
        <v>154</v>
      </c>
      <c r="F16" s="184">
        <f>D19</f>
        <v>56.666666666666664</v>
      </c>
      <c r="G16" s="89"/>
      <c r="I16" s="90">
        <f>D19</f>
        <v>56.666666666666664</v>
      </c>
      <c r="J16" s="190" t="s">
        <v>48</v>
      </c>
    </row>
    <row r="17" spans="2:13" x14ac:dyDescent="0.3">
      <c r="B17" s="3" t="s">
        <v>52</v>
      </c>
      <c r="C17" s="205">
        <f>C9</f>
        <v>85</v>
      </c>
      <c r="D17" s="192"/>
      <c r="E17" s="2" t="s">
        <v>176</v>
      </c>
      <c r="F17" s="86">
        <v>2.75</v>
      </c>
      <c r="I17" s="187" t="s">
        <v>184</v>
      </c>
      <c r="J17" s="188"/>
      <c r="K17" s="188"/>
      <c r="L17" s="189"/>
    </row>
    <row r="18" spans="2:13" x14ac:dyDescent="0.3">
      <c r="B18" s="2" t="s">
        <v>240</v>
      </c>
      <c r="C18" s="204">
        <v>1.5</v>
      </c>
      <c r="D18" s="21" t="s">
        <v>186</v>
      </c>
      <c r="E18" s="2" t="s">
        <v>177</v>
      </c>
      <c r="F18" s="185">
        <f>F16*F17</f>
        <v>155.83333333333331</v>
      </c>
      <c r="G18" s="89">
        <f>F18/$F$37</f>
        <v>0.42849102792960447</v>
      </c>
    </row>
    <row r="19" spans="2:13" x14ac:dyDescent="0.3">
      <c r="B19" s="2" t="s">
        <v>187</v>
      </c>
      <c r="C19" s="193">
        <f>(((C22/(100-C20)*100)/(100-C21))*100)</f>
        <v>177.08333333333331</v>
      </c>
      <c r="D19" s="236">
        <f>(C22-C17)/C18</f>
        <v>56.666666666666664</v>
      </c>
      <c r="E19" s="2" t="s">
        <v>178</v>
      </c>
      <c r="F19" s="86">
        <v>0</v>
      </c>
      <c r="I19" s="76"/>
    </row>
    <row r="20" spans="2:13" x14ac:dyDescent="0.3">
      <c r="B20" s="2" t="s">
        <v>191</v>
      </c>
      <c r="C20" s="195">
        <v>4</v>
      </c>
      <c r="D20" s="21"/>
      <c r="E20" s="76" t="s">
        <v>42</v>
      </c>
      <c r="F20" s="186">
        <f>C24</f>
        <v>85</v>
      </c>
      <c r="I20" s="76" t="s">
        <v>47</v>
      </c>
    </row>
    <row r="21" spans="2:13" x14ac:dyDescent="0.3">
      <c r="B21" s="2" t="s">
        <v>241</v>
      </c>
      <c r="C21" s="196">
        <v>0</v>
      </c>
      <c r="D21" s="197" t="s">
        <v>188</v>
      </c>
      <c r="E21" s="3" t="s">
        <v>179</v>
      </c>
      <c r="F21" s="150">
        <f>F19*F20</f>
        <v>0</v>
      </c>
      <c r="G21" s="89">
        <f>F21/$F$37</f>
        <v>0</v>
      </c>
    </row>
    <row r="22" spans="2:13" x14ac:dyDescent="0.3">
      <c r="B22" s="2" t="s">
        <v>243</v>
      </c>
      <c r="C22" s="201">
        <v>170</v>
      </c>
      <c r="D22" s="198">
        <f>(C22-C17)/D19</f>
        <v>1.5</v>
      </c>
      <c r="E22" s="146" t="s">
        <v>133</v>
      </c>
      <c r="F22" s="86">
        <v>0</v>
      </c>
      <c r="G22" s="89">
        <f>F22/$F$37</f>
        <v>0</v>
      </c>
    </row>
    <row r="23" spans="2:13" x14ac:dyDescent="0.3">
      <c r="B23" s="3"/>
      <c r="C23" s="3"/>
      <c r="D23" s="191"/>
      <c r="E23" s="85" t="s">
        <v>46</v>
      </c>
      <c r="F23" s="86">
        <v>0</v>
      </c>
      <c r="G23" s="29"/>
      <c r="I23" s="81" t="s">
        <v>125</v>
      </c>
    </row>
    <row r="24" spans="2:13" ht="14.15" x14ac:dyDescent="0.35">
      <c r="B24" s="3" t="s">
        <v>219</v>
      </c>
      <c r="C24" s="194">
        <f>C22-C17</f>
        <v>85</v>
      </c>
      <c r="D24" s="2"/>
      <c r="E24" s="81" t="s">
        <v>126</v>
      </c>
      <c r="F24" s="92">
        <f>F23+F22+F21+F18+F14</f>
        <v>155.83333333333331</v>
      </c>
      <c r="G24" s="89">
        <f>F24/$F$37</f>
        <v>0.42849102792960447</v>
      </c>
      <c r="I24" s="95">
        <f>F24/$F$20</f>
        <v>1.833333333333333</v>
      </c>
    </row>
    <row r="25" spans="2:13" x14ac:dyDescent="0.3">
      <c r="B25" s="3"/>
      <c r="C25" s="2"/>
      <c r="D25" s="11"/>
      <c r="E25" s="81" t="s">
        <v>4</v>
      </c>
    </row>
    <row r="26" spans="2:13" x14ac:dyDescent="0.3">
      <c r="B26" s="235" t="s">
        <v>242</v>
      </c>
      <c r="C26" s="93">
        <v>200</v>
      </c>
      <c r="D26" s="11"/>
      <c r="E26" s="148" t="s">
        <v>144</v>
      </c>
      <c r="F26" s="86">
        <v>0.1</v>
      </c>
      <c r="I26" s="76" t="s">
        <v>7</v>
      </c>
    </row>
    <row r="27" spans="2:13" x14ac:dyDescent="0.3">
      <c r="B27" s="2" t="s">
        <v>134</v>
      </c>
      <c r="D27" s="11"/>
      <c r="E27" s="161" t="s">
        <v>145</v>
      </c>
      <c r="F27" s="86">
        <v>0</v>
      </c>
      <c r="I27" s="2" t="s">
        <v>204</v>
      </c>
      <c r="M27" s="98">
        <f>IF(D26=0,0,F28/D26)</f>
        <v>0</v>
      </c>
    </row>
    <row r="28" spans="2:13" ht="14.15" x14ac:dyDescent="0.35">
      <c r="B28" s="2" t="s">
        <v>129</v>
      </c>
      <c r="C28" s="84">
        <v>0</v>
      </c>
      <c r="E28" s="81" t="s">
        <v>31</v>
      </c>
      <c r="F28" s="92">
        <f>(F26*D19)+F27</f>
        <v>5.666666666666667</v>
      </c>
      <c r="G28" s="89">
        <f>F28/$F$37</f>
        <v>1.5581491924712894E-2</v>
      </c>
      <c r="I28" s="95">
        <f>F28/$F$16</f>
        <v>0.1</v>
      </c>
      <c r="J28" s="97">
        <f>I24+I28</f>
        <v>1.9333333333333331</v>
      </c>
      <c r="K28" s="77" t="s">
        <v>69</v>
      </c>
    </row>
    <row r="29" spans="2:13" x14ac:dyDescent="0.3">
      <c r="B29" s="2" t="s">
        <v>130</v>
      </c>
      <c r="C29" s="84">
        <v>0</v>
      </c>
      <c r="D29" s="3" t="s">
        <v>135</v>
      </c>
    </row>
    <row r="30" spans="2:13" x14ac:dyDescent="0.3">
      <c r="B30" s="81" t="s">
        <v>118</v>
      </c>
      <c r="C30" s="96">
        <f>(C26+C28-(C26-$C9)*$C29*0.01)</f>
        <v>200</v>
      </c>
      <c r="D30" s="206">
        <f>C22*$C$26*0.01</f>
        <v>340</v>
      </c>
      <c r="E30" s="3" t="s">
        <v>146</v>
      </c>
      <c r="F30" s="91">
        <v>100</v>
      </c>
      <c r="G30" s="3" t="s">
        <v>92</v>
      </c>
      <c r="I30" s="99">
        <f>D33*D30*0.01</f>
        <v>0</v>
      </c>
      <c r="J30" s="2" t="s">
        <v>183</v>
      </c>
    </row>
    <row r="31" spans="2:13" x14ac:dyDescent="0.3">
      <c r="E31" s="76" t="s">
        <v>8</v>
      </c>
      <c r="F31" s="91">
        <v>5</v>
      </c>
      <c r="G31" s="3" t="s">
        <v>92</v>
      </c>
      <c r="I31" s="76" t="s">
        <v>161</v>
      </c>
    </row>
    <row r="32" spans="2:13" ht="14.6" thickBot="1" x14ac:dyDescent="0.4">
      <c r="B32" s="3" t="s">
        <v>171</v>
      </c>
      <c r="D32" s="11" t="s">
        <v>37</v>
      </c>
      <c r="E32" s="81" t="s">
        <v>34</v>
      </c>
      <c r="F32" s="88">
        <f>D44*F31*0.01</f>
        <v>2.1793378995433788</v>
      </c>
      <c r="G32" s="89">
        <f>F32/$F$37</f>
        <v>5.9924710381686905E-3</v>
      </c>
      <c r="I32" s="95">
        <f>F32/$F$20</f>
        <v>2.563926940639269E-2</v>
      </c>
      <c r="J32" s="101">
        <f>I24+I28+I32</f>
        <v>1.9589726027397258</v>
      </c>
      <c r="K32" s="76" t="s">
        <v>45</v>
      </c>
    </row>
    <row r="33" spans="2:12" ht="12.9" thickTop="1" x14ac:dyDescent="0.3">
      <c r="B33" s="76" t="s">
        <v>11</v>
      </c>
      <c r="C33" s="100">
        <v>0</v>
      </c>
      <c r="D33" s="87">
        <f>(C33*0.01*C30)</f>
        <v>0</v>
      </c>
      <c r="E33" s="81" t="s">
        <v>32</v>
      </c>
      <c r="F33" s="106">
        <f>F24+F28+F32</f>
        <v>163.67933789954336</v>
      </c>
      <c r="G33" s="89">
        <f>F33/$F$37</f>
        <v>0.45006499089248608</v>
      </c>
      <c r="H33" s="107"/>
      <c r="I33" s="102">
        <f>C39-C9</f>
        <v>85</v>
      </c>
      <c r="J33" s="76" t="s">
        <v>14</v>
      </c>
      <c r="K33" s="103">
        <f>F33/I33</f>
        <v>1.9256392694063924</v>
      </c>
    </row>
    <row r="34" spans="2:12" x14ac:dyDescent="0.3">
      <c r="B34" s="2" t="s">
        <v>173</v>
      </c>
      <c r="C34" s="84">
        <v>0</v>
      </c>
      <c r="D34" s="87">
        <f>C34/C22*100</f>
        <v>0</v>
      </c>
      <c r="F34" s="94" t="s">
        <v>35</v>
      </c>
      <c r="H34" s="107"/>
      <c r="J34" s="76" t="s">
        <v>0</v>
      </c>
    </row>
    <row r="35" spans="2:12" x14ac:dyDescent="0.3">
      <c r="B35" s="2" t="s">
        <v>174</v>
      </c>
      <c r="C35" s="84">
        <v>0</v>
      </c>
      <c r="D35" s="87">
        <f>C35/$C$22*100</f>
        <v>0</v>
      </c>
      <c r="E35" s="3" t="s">
        <v>165</v>
      </c>
      <c r="F35" s="92">
        <f>C12</f>
        <v>200</v>
      </c>
      <c r="G35" s="89">
        <f>F35/$F$37</f>
        <v>0.54993500910751381</v>
      </c>
      <c r="H35" s="177"/>
      <c r="I35" s="108">
        <f>G33+G35</f>
        <v>0.99999999999999989</v>
      </c>
      <c r="K35" s="76" t="s">
        <v>16</v>
      </c>
    </row>
    <row r="36" spans="2:12" x14ac:dyDescent="0.3">
      <c r="B36" s="3" t="s">
        <v>172</v>
      </c>
      <c r="C36" s="7"/>
      <c r="D36" s="7">
        <f>SUM(D33:D35)</f>
        <v>0</v>
      </c>
      <c r="E36" s="76"/>
      <c r="F36" s="109"/>
      <c r="G36" s="150" t="s">
        <v>25</v>
      </c>
      <c r="H36" s="107"/>
      <c r="I36" s="110"/>
      <c r="K36" s="76"/>
    </row>
    <row r="37" spans="2:12" x14ac:dyDescent="0.3">
      <c r="C37" s="11" t="s">
        <v>37</v>
      </c>
      <c r="E37" s="3" t="s">
        <v>166</v>
      </c>
      <c r="F37" s="88">
        <f>F33+F35</f>
        <v>363.67933789954338</v>
      </c>
      <c r="G37" s="150">
        <f>F37/$D$67*100</f>
        <v>213.92902229384907</v>
      </c>
      <c r="H37" s="107"/>
      <c r="K37" s="103">
        <f>((F40-F35)/I33)</f>
        <v>1.6470588235294117</v>
      </c>
      <c r="L37" s="77" t="s">
        <v>123</v>
      </c>
    </row>
    <row r="38" spans="2:12" x14ac:dyDescent="0.3">
      <c r="B38" s="210" t="s">
        <v>203</v>
      </c>
      <c r="C38" s="105">
        <f>C30-D33-D34-D35</f>
        <v>200</v>
      </c>
      <c r="D38" s="11"/>
    </row>
    <row r="39" spans="2:12" ht="12.9" thickBot="1" x14ac:dyDescent="0.35">
      <c r="B39" s="2" t="s">
        <v>193</v>
      </c>
      <c r="C39" s="199">
        <f>C22</f>
        <v>170</v>
      </c>
      <c r="D39" s="111"/>
    </row>
    <row r="40" spans="2:12" ht="13.3" thickTop="1" thickBot="1" x14ac:dyDescent="0.35">
      <c r="B40" s="81" t="s">
        <v>39</v>
      </c>
      <c r="C40" s="113">
        <f>C38*C39*0.01</f>
        <v>340</v>
      </c>
      <c r="D40" s="111"/>
      <c r="E40" s="76" t="s">
        <v>40</v>
      </c>
      <c r="F40" s="202">
        <f>C40</f>
        <v>340</v>
      </c>
      <c r="G40" s="149">
        <f>F40/$D$67*100</f>
        <v>200</v>
      </c>
      <c r="H40" s="107"/>
    </row>
    <row r="41" spans="2:12" ht="12.9" thickTop="1" x14ac:dyDescent="0.3">
      <c r="B41" s="3" t="s">
        <v>228</v>
      </c>
      <c r="C41" s="21">
        <f>C38-D12</f>
        <v>-35.29411764705884</v>
      </c>
      <c r="D41" s="80"/>
      <c r="E41" s="210" t="s">
        <v>131</v>
      </c>
      <c r="F41" s="120">
        <f>F40-F37</f>
        <v>-23.679337899543384</v>
      </c>
      <c r="G41" s="211">
        <f>F41/$D$67*100</f>
        <v>-13.92902229384905</v>
      </c>
      <c r="I41" s="99">
        <f>C26+C28+C29</f>
        <v>200</v>
      </c>
      <c r="J41" s="2" t="s">
        <v>132</v>
      </c>
    </row>
    <row r="42" spans="2:12" x14ac:dyDescent="0.3">
      <c r="D42" s="80"/>
      <c r="E42" s="3"/>
      <c r="F42" s="92"/>
      <c r="G42" s="150"/>
      <c r="I42" s="99"/>
      <c r="J42" s="2"/>
    </row>
    <row r="43" spans="2:12" x14ac:dyDescent="0.3">
      <c r="B43" s="3" t="s">
        <v>192</v>
      </c>
      <c r="E43" s="81" t="s">
        <v>1</v>
      </c>
      <c r="F43" s="94" t="s">
        <v>35</v>
      </c>
      <c r="G43" s="98"/>
      <c r="H43" s="107"/>
    </row>
    <row r="44" spans="2:12" ht="14.15" x14ac:dyDescent="0.35">
      <c r="B44" s="2" t="s">
        <v>147</v>
      </c>
      <c r="C44" s="102">
        <f>F30</f>
        <v>100</v>
      </c>
      <c r="D44" s="88">
        <f>C45*F30*0.01</f>
        <v>43.586757990867575</v>
      </c>
      <c r="E44" s="115" t="s">
        <v>44</v>
      </c>
      <c r="F44" s="116">
        <f>F40-F35</f>
        <v>140</v>
      </c>
      <c r="G44" s="98"/>
      <c r="K44" s="76" t="s">
        <v>26</v>
      </c>
    </row>
    <row r="45" spans="2:12" ht="12.9" thickBot="1" x14ac:dyDescent="0.35">
      <c r="B45" s="81" t="s">
        <v>33</v>
      </c>
      <c r="C45" s="123">
        <f>((($C$12+($F$24+$F$28)*0.5))*$D$19/365)*C44*0.01</f>
        <v>43.586757990867575</v>
      </c>
      <c r="E45" s="76" t="s">
        <v>162</v>
      </c>
      <c r="F45" s="114">
        <f>F33</f>
        <v>163.67933789954336</v>
      </c>
      <c r="G45" s="98"/>
      <c r="I45" s="76" t="s">
        <v>13</v>
      </c>
      <c r="K45" s="92">
        <f>F45/C39</f>
        <v>0.9628196347031962</v>
      </c>
    </row>
    <row r="46" spans="2:12" ht="12.9" thickTop="1" x14ac:dyDescent="0.3">
      <c r="B46" s="76" t="s">
        <v>15</v>
      </c>
      <c r="C46" s="117">
        <f>F41+F32</f>
        <v>-21.500000000000007</v>
      </c>
      <c r="E46" s="76"/>
      <c r="F46" s="118"/>
      <c r="G46" s="150" t="s">
        <v>25</v>
      </c>
      <c r="I46" s="76"/>
      <c r="K46" s="92"/>
    </row>
    <row r="47" spans="2:12" x14ac:dyDescent="0.3">
      <c r="B47" s="76"/>
      <c r="C47" s="117"/>
      <c r="E47" s="104" t="s">
        <v>127</v>
      </c>
      <c r="F47" s="120">
        <f>F40-F37</f>
        <v>-23.679337899543384</v>
      </c>
      <c r="G47" s="120">
        <f>((F47/C39)*100)</f>
        <v>-13.92902229384905</v>
      </c>
    </row>
    <row r="48" spans="2:12" ht="15.55" customHeight="1" x14ac:dyDescent="0.3">
      <c r="B48" s="104" t="s">
        <v>9</v>
      </c>
      <c r="C48" s="119">
        <f>((F47+F32)/C45)</f>
        <v>-0.49326907967104938</v>
      </c>
    </row>
    <row r="49" spans="2:9" x14ac:dyDescent="0.3">
      <c r="B49" s="81"/>
      <c r="C49" s="121"/>
      <c r="G49" s="124"/>
    </row>
    <row r="50" spans="2:9" x14ac:dyDescent="0.3">
      <c r="B50" s="122" t="s">
        <v>43</v>
      </c>
      <c r="C50" s="123">
        <f>K37</f>
        <v>1.6470588235294117</v>
      </c>
      <c r="D50" s="81"/>
      <c r="E50" s="81" t="s">
        <v>29</v>
      </c>
      <c r="F50" s="88">
        <f>K33</f>
        <v>1.9256392694063924</v>
      </c>
      <c r="G50" s="124"/>
    </row>
    <row r="51" spans="2:9" x14ac:dyDescent="0.3">
      <c r="B51" s="122"/>
      <c r="C51" s="123"/>
      <c r="D51" s="81"/>
      <c r="E51" s="81"/>
      <c r="F51" s="88"/>
      <c r="G51" s="124"/>
    </row>
    <row r="52" spans="2:9" x14ac:dyDescent="0.3">
      <c r="B52" s="122"/>
      <c r="C52" s="123"/>
      <c r="D52" s="81"/>
      <c r="E52" s="81"/>
      <c r="F52" s="94" t="s">
        <v>35</v>
      </c>
      <c r="G52" s="150" t="s">
        <v>25</v>
      </c>
    </row>
    <row r="53" spans="2:9" ht="12.9" thickBot="1" x14ac:dyDescent="0.35">
      <c r="B53" s="125" t="s">
        <v>194</v>
      </c>
      <c r="C53" s="126"/>
      <c r="D53" s="127"/>
      <c r="E53" s="181" t="s">
        <v>170</v>
      </c>
      <c r="F53" s="182">
        <f>F37</f>
        <v>363.67933789954338</v>
      </c>
      <c r="G53" s="183">
        <f>G37</f>
        <v>213.92902229384907</v>
      </c>
      <c r="I53" s="3" t="s">
        <v>175</v>
      </c>
    </row>
    <row r="54" spans="2:9" ht="14.6" thickTop="1" x14ac:dyDescent="0.35">
      <c r="B54" s="81"/>
      <c r="C54" s="242" t="s">
        <v>30</v>
      </c>
      <c r="D54" s="243"/>
      <c r="E54" s="76"/>
      <c r="F54" s="244" t="s">
        <v>21</v>
      </c>
      <c r="G54" s="245"/>
    </row>
    <row r="55" spans="2:9" x14ac:dyDescent="0.3">
      <c r="B55" s="3" t="s">
        <v>155</v>
      </c>
      <c r="C55" s="128" t="s">
        <v>3</v>
      </c>
      <c r="D55" s="128" t="s">
        <v>27</v>
      </c>
      <c r="E55" s="76" t="s">
        <v>121</v>
      </c>
      <c r="F55" s="99">
        <f>C65</f>
        <v>200</v>
      </c>
      <c r="G55" s="78" t="s">
        <v>12</v>
      </c>
      <c r="I55" s="76" t="s">
        <v>28</v>
      </c>
    </row>
    <row r="56" spans="2:9" x14ac:dyDescent="0.3">
      <c r="B56" s="81" t="s">
        <v>18</v>
      </c>
      <c r="C56" s="129">
        <v>4</v>
      </c>
      <c r="D56" s="130">
        <f>D66</f>
        <v>216.28196347031962</v>
      </c>
      <c r="E56" s="76" t="s">
        <v>122</v>
      </c>
      <c r="F56" s="131">
        <f>D65</f>
        <v>16.281963470319639</v>
      </c>
      <c r="G56" s="132">
        <f>((C56+F32)/C45)</f>
        <v>0.14177099156670683</v>
      </c>
      <c r="I56" s="133"/>
    </row>
    <row r="57" spans="2:9" ht="12.9" thickBot="1" x14ac:dyDescent="0.35">
      <c r="B57" s="81"/>
      <c r="C57" s="129"/>
      <c r="D57" s="134"/>
      <c r="E57" s="135" t="s">
        <v>41</v>
      </c>
      <c r="F57" s="136">
        <f>D66</f>
        <v>216.28196347031962</v>
      </c>
      <c r="G57" s="137"/>
      <c r="I57" s="133"/>
    </row>
    <row r="58" spans="2:9" ht="12.9" thickTop="1" x14ac:dyDescent="0.3">
      <c r="B58" s="138"/>
      <c r="C58" s="138"/>
      <c r="D58" s="138"/>
      <c r="E58" s="138"/>
      <c r="F58" s="138"/>
      <c r="G58" s="138"/>
      <c r="I58" s="133"/>
    </row>
    <row r="59" spans="2:9" x14ac:dyDescent="0.3">
      <c r="B59" s="2" t="s">
        <v>169</v>
      </c>
      <c r="D59" s="139"/>
    </row>
    <row r="60" spans="2:9" x14ac:dyDescent="0.3">
      <c r="B60" s="81" t="s">
        <v>50</v>
      </c>
      <c r="C60" s="140">
        <f>G35</f>
        <v>0.54993500910751381</v>
      </c>
      <c r="D60" s="81" t="s">
        <v>51</v>
      </c>
    </row>
    <row r="61" spans="2:9" x14ac:dyDescent="0.3">
      <c r="B61" s="76" t="s">
        <v>2</v>
      </c>
    </row>
    <row r="62" spans="2:9" x14ac:dyDescent="0.3">
      <c r="B62" s="76"/>
    </row>
    <row r="63" spans="2:9" x14ac:dyDescent="0.3">
      <c r="B63" s="76"/>
      <c r="C63" s="81" t="s">
        <v>22</v>
      </c>
    </row>
    <row r="64" spans="2:9" x14ac:dyDescent="0.3">
      <c r="B64" s="76"/>
      <c r="C64" s="76" t="s">
        <v>17</v>
      </c>
      <c r="D64" s="76" t="s">
        <v>20</v>
      </c>
      <c r="F64" s="76"/>
    </row>
    <row r="65" spans="2:6" x14ac:dyDescent="0.3">
      <c r="B65" s="76"/>
      <c r="C65" s="105">
        <f>C38</f>
        <v>200</v>
      </c>
      <c r="D65" s="141">
        <f>((C56-F47)/(C39))*100</f>
        <v>16.281963470319639</v>
      </c>
      <c r="E65" s="76" t="s">
        <v>120</v>
      </c>
      <c r="F65" s="142"/>
    </row>
    <row r="66" spans="2:6" x14ac:dyDescent="0.3">
      <c r="B66" s="76"/>
      <c r="C66" s="76" t="s">
        <v>27</v>
      </c>
      <c r="D66" s="99">
        <f>((C65+D65))</f>
        <v>216.28196347031962</v>
      </c>
    </row>
    <row r="67" spans="2:6" x14ac:dyDescent="0.3">
      <c r="B67" s="76"/>
      <c r="C67" s="76" t="s">
        <v>27</v>
      </c>
      <c r="D67" s="102">
        <f>$C$39</f>
        <v>170</v>
      </c>
      <c r="E67" s="76" t="s">
        <v>24</v>
      </c>
    </row>
    <row r="68" spans="2:6" x14ac:dyDescent="0.3">
      <c r="B68" s="81"/>
      <c r="C68" s="143" t="s">
        <v>19</v>
      </c>
      <c r="D68" s="88">
        <f>D66*D67*0.01</f>
        <v>367.67933789954338</v>
      </c>
    </row>
    <row r="69" spans="2:6" x14ac:dyDescent="0.3">
      <c r="D69" s="144">
        <f>D68-F37</f>
        <v>4</v>
      </c>
      <c r="E69" s="76" t="s">
        <v>23</v>
      </c>
    </row>
    <row r="71" spans="2:6" x14ac:dyDescent="0.3">
      <c r="B71" s="76"/>
      <c r="C71" s="112" t="s">
        <v>124</v>
      </c>
    </row>
    <row r="72" spans="2:6" x14ac:dyDescent="0.3">
      <c r="B72" s="76"/>
      <c r="C72" s="99" t="s">
        <v>3</v>
      </c>
      <c r="D72" s="145">
        <f>((C9*0.01)*(G40-D12))</f>
        <v>-30.000000000000014</v>
      </c>
      <c r="E72" s="76" t="s">
        <v>110</v>
      </c>
    </row>
    <row r="73" spans="2:6" x14ac:dyDescent="0.3">
      <c r="B73" s="81"/>
      <c r="C73" s="99" t="s">
        <v>3</v>
      </c>
      <c r="D73" s="99">
        <f>((G40*0.01-F50)*(C24))</f>
        <v>6.3206621004566452</v>
      </c>
      <c r="E73" s="2" t="s">
        <v>180</v>
      </c>
    </row>
    <row r="74" spans="2:6" x14ac:dyDescent="0.3">
      <c r="C74" s="88" t="s">
        <v>3</v>
      </c>
      <c r="D74" s="131">
        <f>D72+D73</f>
        <v>-23.67933789954337</v>
      </c>
      <c r="E74" s="81" t="s">
        <v>119</v>
      </c>
    </row>
  </sheetData>
  <sheetProtection sheet="1" objects="1" scenarios="1"/>
  <mergeCells count="6">
    <mergeCell ref="I10:L10"/>
    <mergeCell ref="B1:G1"/>
    <mergeCell ref="C54:D54"/>
    <mergeCell ref="F54:G54"/>
    <mergeCell ref="B3:D3"/>
    <mergeCell ref="B8:E8"/>
  </mergeCells>
  <pageMargins left="1" right="0.5" top="1" bottom="1" header="0.5" footer="0.5"/>
  <pageSetup scale="80" orientation="portrait" horizontalDpi="4294967294" r:id="rId1"/>
  <headerFooter alignWithMargins="0">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R49"/>
  <sheetViews>
    <sheetView topLeftCell="A25" workbookViewId="0">
      <selection activeCell="G12" sqref="G12"/>
    </sheetView>
  </sheetViews>
  <sheetFormatPr defaultRowHeight="12.45" x14ac:dyDescent="0.3"/>
  <cols>
    <col min="1" max="1" width="3.07421875" customWidth="1"/>
    <col min="2" max="2" width="14.84375" customWidth="1"/>
    <col min="3" max="3" width="8.84375" customWidth="1"/>
    <col min="4" max="4" width="10.3828125" customWidth="1"/>
    <col min="5" max="5" width="9.921875" customWidth="1"/>
    <col min="6" max="6" width="8.921875" bestFit="1" customWidth="1"/>
    <col min="7" max="7" width="8.921875" customWidth="1"/>
    <col min="10" max="10" width="10.4609375" customWidth="1"/>
    <col min="11" max="11" width="9" bestFit="1" customWidth="1"/>
    <col min="12" max="12" width="10.53515625" customWidth="1"/>
    <col min="15" max="15" width="9.921875" bestFit="1" customWidth="1"/>
  </cols>
  <sheetData>
    <row r="2" spans="2:12" ht="15.45" x14ac:dyDescent="0.4">
      <c r="B2" s="253" t="s">
        <v>83</v>
      </c>
      <c r="C2" s="254"/>
      <c r="D2" s="254"/>
      <c r="E2" s="254"/>
      <c r="F2" s="254"/>
      <c r="G2" s="254"/>
      <c r="H2" s="254"/>
      <c r="I2" s="254"/>
    </row>
    <row r="3" spans="2:12" x14ac:dyDescent="0.3">
      <c r="E3" s="26">
        <f>'1.ProjectedCost&amp;Profitability '!C9</f>
        <v>85</v>
      </c>
      <c r="F3" s="2" t="s">
        <v>53</v>
      </c>
    </row>
    <row r="4" spans="2:12" x14ac:dyDescent="0.3">
      <c r="E4" s="218">
        <f>'1.ProjectedCost&amp;Profitability '!D12</f>
        <v>235.29411764705884</v>
      </c>
      <c r="F4" s="2" t="s">
        <v>54</v>
      </c>
      <c r="K4" s="27"/>
      <c r="L4" s="72"/>
    </row>
    <row r="5" spans="2:12" x14ac:dyDescent="0.3">
      <c r="E5" s="10">
        <f>'1.ProjectedCost&amp;Profitability '!C12</f>
        <v>200</v>
      </c>
      <c r="F5" s="2" t="s">
        <v>214</v>
      </c>
      <c r="K5" s="71"/>
    </row>
    <row r="6" spans="2:12" x14ac:dyDescent="0.3">
      <c r="E6" s="70">
        <f>'1.ProjectedCost&amp;Profitability '!F31</f>
        <v>5</v>
      </c>
      <c r="F6" s="2" t="s">
        <v>55</v>
      </c>
    </row>
    <row r="7" spans="2:12" x14ac:dyDescent="0.3">
      <c r="E7" s="32">
        <f>'1.ProjectedCost&amp;Profitability '!D22</f>
        <v>1.5</v>
      </c>
      <c r="F7" s="2" t="s">
        <v>56</v>
      </c>
    </row>
    <row r="8" spans="2:12" x14ac:dyDescent="0.3">
      <c r="E8" s="20">
        <f>'1.ProjectedCost&amp;Profitability '!D19</f>
        <v>56.666666666666664</v>
      </c>
      <c r="F8" s="2" t="s">
        <v>158</v>
      </c>
    </row>
    <row r="9" spans="2:12" x14ac:dyDescent="0.3">
      <c r="E9" s="26">
        <f>'1.ProjectedCost&amp;Profitability '!C22</f>
        <v>170</v>
      </c>
      <c r="F9" s="2" t="s">
        <v>189</v>
      </c>
      <c r="K9" s="2" t="s">
        <v>81</v>
      </c>
    </row>
    <row r="10" spans="2:12" x14ac:dyDescent="0.3">
      <c r="E10" s="4">
        <f>E9-E3</f>
        <v>85</v>
      </c>
      <c r="F10" s="2" t="s">
        <v>57</v>
      </c>
      <c r="K10" s="24">
        <v>3</v>
      </c>
      <c r="L10" s="10" t="s">
        <v>65</v>
      </c>
    </row>
    <row r="11" spans="2:12" x14ac:dyDescent="0.3">
      <c r="B11" s="3" t="s">
        <v>58</v>
      </c>
      <c r="J11" s="9"/>
      <c r="K11" s="24">
        <v>0.1</v>
      </c>
      <c r="L11" s="10" t="s">
        <v>66</v>
      </c>
    </row>
    <row r="12" spans="2:12" x14ac:dyDescent="0.3">
      <c r="B12" s="3" t="s">
        <v>164</v>
      </c>
      <c r="E12" s="10">
        <f>F12-K10</f>
        <v>194</v>
      </c>
      <c r="F12" s="10">
        <f>G12-K10</f>
        <v>197</v>
      </c>
      <c r="G12" s="73">
        <f>'1.ProjectedCost&amp;Profitability '!C38</f>
        <v>200</v>
      </c>
      <c r="H12" s="9">
        <f>G12+K10</f>
        <v>203</v>
      </c>
      <c r="I12" s="9">
        <f>H12+K10</f>
        <v>206</v>
      </c>
      <c r="J12" s="9"/>
    </row>
    <row r="13" spans="2:12" x14ac:dyDescent="0.3">
      <c r="B13" s="2" t="s">
        <v>59</v>
      </c>
      <c r="E13" s="8">
        <f>E12*$E$9*0.01</f>
        <v>329.8</v>
      </c>
      <c r="F13" s="8">
        <f>F12*$E$9*0.01</f>
        <v>334.90000000000003</v>
      </c>
      <c r="G13" s="8">
        <f>G12*$E$9*0.01</f>
        <v>340</v>
      </c>
      <c r="H13" s="8">
        <f>H12*$E$9*0.01</f>
        <v>345.1</v>
      </c>
      <c r="I13" s="8">
        <f>I12*$E$9*0.01</f>
        <v>350.2</v>
      </c>
      <c r="J13" s="9"/>
    </row>
    <row r="14" spans="2:12" x14ac:dyDescent="0.3">
      <c r="B14" s="2"/>
      <c r="E14" s="9"/>
      <c r="F14" s="9"/>
      <c r="G14" s="9"/>
      <c r="H14" s="9"/>
      <c r="I14" s="9"/>
      <c r="J14" s="9"/>
    </row>
    <row r="15" spans="2:12" x14ac:dyDescent="0.3">
      <c r="B15" s="3" t="s">
        <v>61</v>
      </c>
      <c r="C15" s="3"/>
      <c r="D15" s="3"/>
      <c r="E15" s="7">
        <f>(E13-($E$3*$E$4*0.01))/$E$10</f>
        <v>1.5270588235294118</v>
      </c>
      <c r="F15" s="7">
        <f>(F13-($E$3*$E$4*0.01))/$E$10</f>
        <v>1.5870588235294121</v>
      </c>
      <c r="G15" s="7">
        <f>(G13-($E$3*$E$4*0.01))/$E$10</f>
        <v>1.6470588235294117</v>
      </c>
      <c r="H15" s="7">
        <f>(H13-($E$3*$E$4*0.01))/$E$10</f>
        <v>1.707058823529412</v>
      </c>
      <c r="I15" s="7">
        <f>(I13-($E$3*$E$4*0.01))/$E$10</f>
        <v>1.7670588235294116</v>
      </c>
      <c r="J15" s="9"/>
    </row>
    <row r="16" spans="2:12" x14ac:dyDescent="0.3">
      <c r="B16" s="2"/>
      <c r="E16" s="9"/>
      <c r="F16" s="9"/>
      <c r="G16" s="9"/>
      <c r="H16" s="9"/>
      <c r="I16" s="9"/>
      <c r="J16" s="9"/>
    </row>
    <row r="17" spans="2:18" x14ac:dyDescent="0.3">
      <c r="B17" s="11" t="s">
        <v>70</v>
      </c>
      <c r="C17" s="174" t="s">
        <v>71</v>
      </c>
      <c r="D17" s="11" t="s">
        <v>74</v>
      </c>
      <c r="K17" s="2" t="s">
        <v>72</v>
      </c>
      <c r="L17" s="2" t="s">
        <v>73</v>
      </c>
      <c r="M17" s="2" t="s">
        <v>73</v>
      </c>
    </row>
    <row r="18" spans="2:18" x14ac:dyDescent="0.3">
      <c r="B18" s="11" t="s">
        <v>82</v>
      </c>
      <c r="C18" s="11" t="s">
        <v>68</v>
      </c>
      <c r="D18" s="11" t="s">
        <v>82</v>
      </c>
      <c r="E18" s="252" t="s">
        <v>60</v>
      </c>
      <c r="F18" s="252"/>
      <c r="G18" s="252"/>
      <c r="H18" s="252"/>
      <c r="I18" s="252"/>
      <c r="K18" s="2" t="s">
        <v>67</v>
      </c>
      <c r="L18" s="2" t="s">
        <v>67</v>
      </c>
      <c r="M18" s="2" t="s">
        <v>71</v>
      </c>
      <c r="O18" s="2" t="s">
        <v>77</v>
      </c>
      <c r="P18" s="2" t="s">
        <v>75</v>
      </c>
    </row>
    <row r="19" spans="2:18" x14ac:dyDescent="0.3">
      <c r="B19" s="9">
        <f>B20-$K$11</f>
        <v>1.5333333333333328</v>
      </c>
      <c r="D19" s="9">
        <f>B19+L19+M19</f>
        <v>1.6244748858447482</v>
      </c>
      <c r="E19" s="31">
        <f t="shared" ref="E19:I25" si="0">E$13-(($E$4*$E$3*0.01)+($B19*$E$10)+($E$8*$C$22)+($K19))</f>
        <v>-8.280365296803609</v>
      </c>
      <c r="F19" s="31">
        <f t="shared" si="0"/>
        <v>-3.1803652968035863</v>
      </c>
      <c r="G19" s="31">
        <f t="shared" si="0"/>
        <v>1.9196347031963796</v>
      </c>
      <c r="H19" s="31">
        <f t="shared" si="0"/>
        <v>7.0196347031964024</v>
      </c>
      <c r="I19" s="31">
        <f t="shared" si="0"/>
        <v>12.119634703196368</v>
      </c>
      <c r="K19" s="31">
        <f>(($E$4*$E$3*0.01)+($B19*$E$10*0.5+$C$22*$E$8*0.5))*($E$6*0.01*($E$8/365))</f>
        <v>2.0803652968036528</v>
      </c>
      <c r="L19" s="33">
        <f>K19/$E$10</f>
        <v>2.4474885844748856E-2</v>
      </c>
      <c r="M19" s="9">
        <f t="shared" ref="M19:M25" si="1">(($C$22*$E$8)/$E$10)</f>
        <v>6.6666666666666666E-2</v>
      </c>
      <c r="N19" s="2"/>
      <c r="O19" s="9">
        <f t="shared" ref="O19:O25" si="2">($D19*$E$10+$E$3*$E$4*0.01)</f>
        <v>338.08036529680362</v>
      </c>
      <c r="P19" s="9">
        <f t="shared" ref="P19:P25" si="3">((O19/$E$9)*100)</f>
        <v>198.87080311576685</v>
      </c>
      <c r="Q19" s="2"/>
    </row>
    <row r="20" spans="2:18" x14ac:dyDescent="0.3">
      <c r="B20" s="9">
        <f>B21-$K$11</f>
        <v>1.6333333333333329</v>
      </c>
      <c r="D20" s="9">
        <f t="shared" ref="D20:D25" si="4">B20+L20+M20</f>
        <v>1.7248630136986296</v>
      </c>
      <c r="E20" s="31">
        <f t="shared" si="0"/>
        <v>-16.813356164383492</v>
      </c>
      <c r="F20" s="31">
        <f t="shared" si="0"/>
        <v>-11.71335616438347</v>
      </c>
      <c r="G20" s="31">
        <f t="shared" si="0"/>
        <v>-6.6133561643835037</v>
      </c>
      <c r="H20" s="31">
        <f t="shared" si="0"/>
        <v>-1.513356164383481</v>
      </c>
      <c r="I20" s="31">
        <f t="shared" si="0"/>
        <v>3.5866438356164849</v>
      </c>
      <c r="K20" s="31">
        <f>(($E$4*$E$3*0.01)+($B20*$E$10*0.5+$C$22*$E$8*0.5))*($E$6*0.01*($E$8/365))</f>
        <v>2.1133561643835614</v>
      </c>
      <c r="L20" s="33">
        <f t="shared" ref="L20:L25" si="5">K20/$E$10</f>
        <v>2.4863013698630136E-2</v>
      </c>
      <c r="M20" s="9">
        <f t="shared" si="1"/>
        <v>6.6666666666666666E-2</v>
      </c>
      <c r="N20" s="9"/>
      <c r="O20" s="9">
        <f t="shared" si="2"/>
        <v>346.6133561643835</v>
      </c>
      <c r="P20" s="9">
        <f t="shared" si="3"/>
        <v>203.89020950846088</v>
      </c>
      <c r="Q20" s="9"/>
      <c r="R20" s="9"/>
    </row>
    <row r="21" spans="2:18" x14ac:dyDescent="0.3">
      <c r="B21" s="9">
        <f>B22-$K$11</f>
        <v>1.7333333333333329</v>
      </c>
      <c r="D21" s="9">
        <f t="shared" si="4"/>
        <v>1.825251141552511</v>
      </c>
      <c r="E21" s="31">
        <f t="shared" si="0"/>
        <v>-25.346347031963433</v>
      </c>
      <c r="F21" s="31">
        <f t="shared" si="0"/>
        <v>-20.24634703196341</v>
      </c>
      <c r="G21" s="31">
        <f t="shared" si="0"/>
        <v>-15.146347031963444</v>
      </c>
      <c r="H21" s="31">
        <f t="shared" si="0"/>
        <v>-10.046347031963421</v>
      </c>
      <c r="I21" s="31">
        <f t="shared" si="0"/>
        <v>-4.9463470319634553</v>
      </c>
      <c r="K21" s="31">
        <f>(($E$4*$E$3*0.01)+($B21*$E$10*0.5+$C$22*$E$8*0.5))*($E$6*0.01*($E$8/365))</f>
        <v>2.1463470319634701</v>
      </c>
      <c r="L21" s="33">
        <f t="shared" si="5"/>
        <v>2.5251141552511413E-2</v>
      </c>
      <c r="M21" s="9">
        <f t="shared" si="1"/>
        <v>6.6666666666666666E-2</v>
      </c>
      <c r="O21" s="9">
        <f t="shared" si="2"/>
        <v>355.14634703196344</v>
      </c>
      <c r="P21" s="9">
        <f t="shared" si="3"/>
        <v>208.90961590115498</v>
      </c>
    </row>
    <row r="22" spans="2:18" x14ac:dyDescent="0.3">
      <c r="B22" s="19">
        <f>'1.ProjectedCost&amp;Profitability '!I24</f>
        <v>1.833333333333333</v>
      </c>
      <c r="C22" s="27">
        <f>'1.ProjectedCost&amp;Profitability '!I28</f>
        <v>0.1</v>
      </c>
      <c r="D22" s="9">
        <f t="shared" si="4"/>
        <v>1.9256392694063924</v>
      </c>
      <c r="E22" s="31">
        <f t="shared" si="0"/>
        <v>-33.879337899543373</v>
      </c>
      <c r="F22" s="31">
        <f t="shared" si="0"/>
        <v>-28.77933789954335</v>
      </c>
      <c r="G22" s="21">
        <f t="shared" si="0"/>
        <v>-23.679337899543384</v>
      </c>
      <c r="H22" s="31">
        <f t="shared" si="0"/>
        <v>-18.579337899543361</v>
      </c>
      <c r="I22" s="31">
        <f t="shared" si="0"/>
        <v>-13.479337899543395</v>
      </c>
      <c r="K22" s="31">
        <f>(($E$4*$E$3*0.01)+($B$22*$E$10*0.5+$C$22*$E$8*0.5))*($E$6*0.01*($E$8/365))</f>
        <v>2.1793378995433788</v>
      </c>
      <c r="L22" s="33">
        <f t="shared" si="5"/>
        <v>2.563926940639269E-2</v>
      </c>
      <c r="M22" s="7">
        <f t="shared" si="1"/>
        <v>6.6666666666666666E-2</v>
      </c>
      <c r="N22" s="9"/>
      <c r="O22" s="9">
        <f t="shared" si="2"/>
        <v>363.67933789954338</v>
      </c>
      <c r="P22" s="7">
        <f t="shared" si="3"/>
        <v>213.92902229384907</v>
      </c>
      <c r="Q22" s="7">
        <f>G13-O22</f>
        <v>-23.679337899543384</v>
      </c>
    </row>
    <row r="23" spans="2:18" x14ac:dyDescent="0.3">
      <c r="B23" s="9">
        <f>B22+$K$11</f>
        <v>1.9333333333333331</v>
      </c>
      <c r="D23" s="9">
        <f t="shared" si="4"/>
        <v>2.026027397260274</v>
      </c>
      <c r="E23" s="31">
        <f t="shared" si="0"/>
        <v>-42.412328767123256</v>
      </c>
      <c r="F23" s="31">
        <f t="shared" si="0"/>
        <v>-37.312328767123233</v>
      </c>
      <c r="G23" s="31">
        <f t="shared" si="0"/>
        <v>-32.212328767123267</v>
      </c>
      <c r="H23" s="31">
        <f t="shared" si="0"/>
        <v>-27.112328767123245</v>
      </c>
      <c r="I23" s="31">
        <f t="shared" si="0"/>
        <v>-22.012328767123279</v>
      </c>
      <c r="K23" s="31">
        <f>(($E$4*$E$3*0.01)+($B23*$E$10*0.5+$C$22*$E$8*0.5))*($E$6*0.01*($E$8/365))</f>
        <v>2.2123287671232879</v>
      </c>
      <c r="L23" s="33">
        <f t="shared" si="5"/>
        <v>2.6027397260273973E-2</v>
      </c>
      <c r="M23" s="9">
        <f t="shared" si="1"/>
        <v>6.6666666666666666E-2</v>
      </c>
      <c r="O23" s="9">
        <f t="shared" si="2"/>
        <v>372.21232876712327</v>
      </c>
      <c r="P23" s="9">
        <f t="shared" si="3"/>
        <v>218.94842868654311</v>
      </c>
      <c r="Q23" s="2"/>
      <c r="R23" s="9"/>
    </row>
    <row r="24" spans="2:18" x14ac:dyDescent="0.3">
      <c r="B24" s="9">
        <f>B23+$K$11</f>
        <v>2.0333333333333332</v>
      </c>
      <c r="D24" s="9">
        <f t="shared" si="4"/>
        <v>2.1264155251141554</v>
      </c>
      <c r="E24" s="31">
        <f t="shared" si="0"/>
        <v>-50.945319634703196</v>
      </c>
      <c r="F24" s="31">
        <f t="shared" si="0"/>
        <v>-45.845319634703174</v>
      </c>
      <c r="G24" s="31">
        <f t="shared" si="0"/>
        <v>-40.745319634703208</v>
      </c>
      <c r="H24" s="31">
        <f t="shared" si="0"/>
        <v>-35.645319634703185</v>
      </c>
      <c r="I24" s="31">
        <f t="shared" si="0"/>
        <v>-30.545319634703219</v>
      </c>
      <c r="K24" s="31">
        <f>(($E$4*$E$3*0.01)+($B24*$E$10*0.5+$C$22*$E$8*0.5))*($E$6*0.01*($E$8/365))</f>
        <v>2.2453196347031965</v>
      </c>
      <c r="L24" s="33">
        <f t="shared" si="5"/>
        <v>2.6415525114155253E-2</v>
      </c>
      <c r="M24" s="9">
        <f t="shared" si="1"/>
        <v>6.6666666666666666E-2</v>
      </c>
      <c r="O24" s="9">
        <f t="shared" si="2"/>
        <v>380.74531963470321</v>
      </c>
      <c r="P24" s="9">
        <f t="shared" si="3"/>
        <v>223.96783507923718</v>
      </c>
      <c r="Q24" s="2"/>
      <c r="R24" s="9"/>
    </row>
    <row r="25" spans="2:18" x14ac:dyDescent="0.3">
      <c r="B25" s="9">
        <f>B24+$K$11</f>
        <v>2.1333333333333333</v>
      </c>
      <c r="D25" s="9">
        <f t="shared" si="4"/>
        <v>2.2268036529680368</v>
      </c>
      <c r="E25" s="31">
        <f t="shared" si="0"/>
        <v>-59.478310502283136</v>
      </c>
      <c r="F25" s="31">
        <f t="shared" si="0"/>
        <v>-54.378310502283114</v>
      </c>
      <c r="G25" s="31">
        <f t="shared" si="0"/>
        <v>-49.278310502283148</v>
      </c>
      <c r="H25" s="31">
        <f t="shared" si="0"/>
        <v>-44.178310502283125</v>
      </c>
      <c r="I25" s="31">
        <f t="shared" si="0"/>
        <v>-39.078310502283159</v>
      </c>
      <c r="K25" s="31">
        <f>(($E$4*$E$3*0.01)+($B25*$E$10*0.5+$C$22*$E$8*0.5))*($E$6*0.01*($E$8/365))</f>
        <v>2.2783105022831052</v>
      </c>
      <c r="L25" s="33">
        <f t="shared" si="5"/>
        <v>2.680365296803653E-2</v>
      </c>
      <c r="M25" s="9">
        <f t="shared" si="1"/>
        <v>6.6666666666666666E-2</v>
      </c>
      <c r="O25" s="9">
        <f t="shared" si="2"/>
        <v>389.27831050228315</v>
      </c>
      <c r="P25" s="9">
        <f t="shared" si="3"/>
        <v>228.98724147193127</v>
      </c>
      <c r="R25" s="9"/>
    </row>
    <row r="27" spans="2:18" x14ac:dyDescent="0.3">
      <c r="B27" s="11" t="s">
        <v>70</v>
      </c>
      <c r="D27" s="11" t="s">
        <v>74</v>
      </c>
    </row>
    <row r="28" spans="2:18" x14ac:dyDescent="0.3">
      <c r="B28" s="11" t="s">
        <v>82</v>
      </c>
      <c r="D28" s="11" t="s">
        <v>82</v>
      </c>
      <c r="E28" s="252" t="s">
        <v>62</v>
      </c>
      <c r="F28" s="252"/>
      <c r="G28" s="252"/>
      <c r="H28" s="252"/>
      <c r="I28" s="252"/>
    </row>
    <row r="29" spans="2:18" x14ac:dyDescent="0.3">
      <c r="B29" s="10">
        <f t="shared" ref="B29:B31" si="6">B19</f>
        <v>1.5333333333333328</v>
      </c>
      <c r="D29" s="9">
        <f>D19</f>
        <v>1.6244748858447482</v>
      </c>
      <c r="E29" s="29">
        <f t="shared" ref="E29:F35" si="7">(E19+$K19)/((($E$4*$E$3*0.01)+($E$10*$B29+$M$22*$E$10)*0.5)*($E$8/365))</f>
        <v>-0.14901229148375666</v>
      </c>
      <c r="F29" s="29">
        <f t="shared" si="7"/>
        <v>-2.6437664618084444E-2</v>
      </c>
      <c r="G29" s="29">
        <f>($G19+$K19)/((($E$4*$E$3*0.01)+($E$10*$B29+$M$22*$E$10)*0.5)*($E$8/365))</f>
        <v>9.6136962247586388E-2</v>
      </c>
      <c r="H29" s="29">
        <f t="shared" ref="H29:I35" si="8">(H19+$K19)/((($E$4*$E$3*0.01)+($E$10*$B29+$M$22*$E$10)*0.5)*($E$8/365))</f>
        <v>0.21871158911325858</v>
      </c>
      <c r="I29" s="29">
        <f t="shared" si="8"/>
        <v>0.34128621597892944</v>
      </c>
      <c r="K29" s="21"/>
      <c r="M29" s="28"/>
    </row>
    <row r="30" spans="2:18" x14ac:dyDescent="0.3">
      <c r="B30" s="10">
        <f t="shared" si="6"/>
        <v>1.6333333333333329</v>
      </c>
      <c r="D30" s="9">
        <f t="shared" ref="D30:D35" si="9">D20</f>
        <v>1.7248630136986296</v>
      </c>
      <c r="E30" s="29">
        <f t="shared" si="7"/>
        <v>-0.34778804083616754</v>
      </c>
      <c r="F30" s="29">
        <f t="shared" si="7"/>
        <v>-0.22712688381137364</v>
      </c>
      <c r="G30" s="29">
        <f>($G20+$K20)/((($E$4*$E$3*0.01)+($E$10*$B30+$M$22*$E$10)*0.5)*($E$8/365))</f>
        <v>-0.10646572678658103</v>
      </c>
      <c r="H30" s="29">
        <f t="shared" si="8"/>
        <v>1.4195430238212891E-2</v>
      </c>
      <c r="I30" s="29">
        <f t="shared" si="8"/>
        <v>0.13485658726300548</v>
      </c>
      <c r="M30" s="27"/>
    </row>
    <row r="31" spans="2:18" x14ac:dyDescent="0.3">
      <c r="B31" s="10">
        <f t="shared" si="6"/>
        <v>1.7333333333333329</v>
      </c>
      <c r="D31" s="9">
        <f t="shared" si="9"/>
        <v>1.825251141552511</v>
      </c>
      <c r="E31" s="29">
        <f t="shared" si="7"/>
        <v>-0.54045314328262872</v>
      </c>
      <c r="F31" s="29">
        <f t="shared" si="7"/>
        <v>-0.42164663333687769</v>
      </c>
      <c r="G31" s="29">
        <f>($G21+$K21)/((($E$4*$E$3*0.01)+($E$10*$B31+$M$22*$E$10)*0.5)*($E$8/365))</f>
        <v>-0.30284012339112798</v>
      </c>
      <c r="H31" s="29">
        <f t="shared" si="8"/>
        <v>-0.18403361344537703</v>
      </c>
      <c r="I31" s="29">
        <f t="shared" si="8"/>
        <v>-6.5227103499627362E-2</v>
      </c>
      <c r="K31" s="25"/>
    </row>
    <row r="32" spans="2:18" x14ac:dyDescent="0.3">
      <c r="B32" s="7">
        <f>B22</f>
        <v>1.833333333333333</v>
      </c>
      <c r="C32" s="27">
        <f>C22</f>
        <v>0.1</v>
      </c>
      <c r="D32" s="9">
        <f t="shared" si="9"/>
        <v>1.9256392694063924</v>
      </c>
      <c r="E32" s="5">
        <f t="shared" si="7"/>
        <v>-0.72728510816615155</v>
      </c>
      <c r="F32" s="5">
        <f t="shared" si="7"/>
        <v>-0.61027709391859986</v>
      </c>
      <c r="G32" s="5">
        <f>(G22+$K22)/((($E$4*$E$3*0.01)+($E$10*$B32+$M$22*$E$10)*0.5)*($E$8/365))</f>
        <v>-0.49326907967104938</v>
      </c>
      <c r="H32" s="5">
        <f t="shared" si="8"/>
        <v>-0.37626106542349769</v>
      </c>
      <c r="I32" s="5">
        <f t="shared" si="8"/>
        <v>-0.25925305117594721</v>
      </c>
      <c r="K32" s="34"/>
    </row>
    <row r="33" spans="2:11" x14ac:dyDescent="0.3">
      <c r="B33" s="10">
        <f t="shared" ref="B33:B35" si="10">B23</f>
        <v>1.9333333333333331</v>
      </c>
      <c r="D33" s="9">
        <f t="shared" si="9"/>
        <v>2.026027397260274</v>
      </c>
      <c r="E33" s="29">
        <f t="shared" si="7"/>
        <v>-0.90854489164086616</v>
      </c>
      <c r="F33" s="29">
        <f t="shared" si="7"/>
        <v>-0.79328173374612876</v>
      </c>
      <c r="G33" s="29">
        <f>($G23+$K23)/((($E$4*$E$3*0.01)+($E$10*$B33+$M$22*$E$10)*0.5)*($E$8/365))</f>
        <v>-0.67801857585139269</v>
      </c>
      <c r="H33" s="29">
        <f t="shared" si="8"/>
        <v>-0.5627554179566554</v>
      </c>
      <c r="I33" s="29">
        <f t="shared" si="8"/>
        <v>-0.44749226006191928</v>
      </c>
      <c r="K33" s="2" t="s">
        <v>63</v>
      </c>
    </row>
    <row r="34" spans="2:11" x14ac:dyDescent="0.3">
      <c r="B34" s="10">
        <f t="shared" si="10"/>
        <v>2.0333333333333332</v>
      </c>
      <c r="D34" s="9">
        <f t="shared" si="9"/>
        <v>2.1264155251141554</v>
      </c>
      <c r="E34" s="29">
        <f t="shared" si="7"/>
        <v>-1.0844781127662821</v>
      </c>
      <c r="F34" s="29">
        <f t="shared" si="7"/>
        <v>-0.97090853627535678</v>
      </c>
      <c r="G34" s="29">
        <f>($G24+$K24)/((($E$4*$E$3*0.01)+($E$10*$B34+$M$22*$E$10)*0.5)*($E$8/365))</f>
        <v>-0.85733895978443275</v>
      </c>
      <c r="H34" s="29">
        <f t="shared" si="8"/>
        <v>-0.74376938329350739</v>
      </c>
      <c r="I34" s="29">
        <f t="shared" si="8"/>
        <v>-0.63019980680258325</v>
      </c>
      <c r="K34" s="2" t="s">
        <v>64</v>
      </c>
    </row>
    <row r="35" spans="2:11" x14ac:dyDescent="0.3">
      <c r="B35" s="10">
        <f t="shared" si="10"/>
        <v>2.1333333333333333</v>
      </c>
      <c r="D35" s="9">
        <f t="shared" si="9"/>
        <v>2.2268036529680368</v>
      </c>
      <c r="E35" s="29">
        <f t="shared" si="7"/>
        <v>-1.2553161639442838</v>
      </c>
      <c r="F35" s="29">
        <f t="shared" si="7"/>
        <v>-1.1433911213548456</v>
      </c>
      <c r="G35" s="29">
        <f>($G25+$K25)/((($E$4*$E$3*0.01)+($E$10*$B35+$M$22*$E$10)*0.5)*($E$8/365))</f>
        <v>-1.0314660787654084</v>
      </c>
      <c r="H35" s="29">
        <f t="shared" si="8"/>
        <v>-0.91954103617597005</v>
      </c>
      <c r="I35" s="29">
        <f t="shared" si="8"/>
        <v>-0.80761599358653302</v>
      </c>
    </row>
    <row r="36" spans="2:11" x14ac:dyDescent="0.3">
      <c r="B36" s="10"/>
      <c r="D36" s="9"/>
      <c r="E36" s="29"/>
      <c r="F36" s="29"/>
      <c r="G36" s="29"/>
      <c r="H36" s="29"/>
      <c r="I36" s="29"/>
    </row>
    <row r="37" spans="2:11" x14ac:dyDescent="0.3">
      <c r="H37" s="3" t="s">
        <v>79</v>
      </c>
    </row>
    <row r="38" spans="2:11" x14ac:dyDescent="0.3">
      <c r="D38" s="11" t="s">
        <v>74</v>
      </c>
      <c r="E38" s="252" t="s">
        <v>80</v>
      </c>
      <c r="F38" s="241"/>
      <c r="G38" s="241"/>
      <c r="H38" s="30"/>
      <c r="I38" s="36">
        <f>E3*E4*0.01</f>
        <v>200</v>
      </c>
    </row>
    <row r="39" spans="2:11" x14ac:dyDescent="0.3">
      <c r="D39" s="11" t="s">
        <v>82</v>
      </c>
      <c r="E39" s="30"/>
      <c r="F39" s="30" t="s">
        <v>27</v>
      </c>
      <c r="G39" s="30" t="s">
        <v>76</v>
      </c>
      <c r="I39" s="30" t="s">
        <v>78</v>
      </c>
    </row>
    <row r="40" spans="2:11" x14ac:dyDescent="0.3">
      <c r="D40" s="9">
        <f t="shared" ref="D40:D46" si="11">D29</f>
        <v>1.6244748858447482</v>
      </c>
      <c r="F40" s="9">
        <f t="shared" ref="F40:F46" si="12">P19</f>
        <v>198.87080311576685</v>
      </c>
      <c r="G40" s="8">
        <f t="shared" ref="G40:G46" si="13">O19</f>
        <v>338.08036529680362</v>
      </c>
      <c r="I40" s="18">
        <f t="shared" ref="I40:I46" si="14">($I$38/$G40)</f>
        <v>0.59157531915353412</v>
      </c>
    </row>
    <row r="41" spans="2:11" x14ac:dyDescent="0.3">
      <c r="D41" s="9">
        <f t="shared" si="11"/>
        <v>1.7248630136986296</v>
      </c>
      <c r="F41" s="9">
        <f t="shared" si="12"/>
        <v>203.89020950846088</v>
      </c>
      <c r="G41" s="8">
        <f t="shared" si="13"/>
        <v>346.6133561643835</v>
      </c>
      <c r="I41" s="18">
        <f t="shared" si="14"/>
        <v>0.57701180996946</v>
      </c>
    </row>
    <row r="42" spans="2:11" x14ac:dyDescent="0.3">
      <c r="D42" s="9">
        <f t="shared" si="11"/>
        <v>1.825251141552511</v>
      </c>
      <c r="F42" s="9">
        <f t="shared" si="12"/>
        <v>208.90961590115498</v>
      </c>
      <c r="G42" s="8">
        <f t="shared" si="13"/>
        <v>355.14634703196344</v>
      </c>
      <c r="I42" s="18">
        <f t="shared" si="14"/>
        <v>0.56314812660032754</v>
      </c>
    </row>
    <row r="43" spans="2:11" x14ac:dyDescent="0.3">
      <c r="D43" s="7">
        <f t="shared" si="11"/>
        <v>1.9256392694063924</v>
      </c>
      <c r="E43" s="3"/>
      <c r="F43" s="7">
        <f t="shared" si="12"/>
        <v>213.92902229384907</v>
      </c>
      <c r="G43" s="17">
        <f t="shared" si="13"/>
        <v>363.67933789954338</v>
      </c>
      <c r="H43" s="3"/>
      <c r="I43" s="35">
        <f t="shared" si="14"/>
        <v>0.54993500910751381</v>
      </c>
    </row>
    <row r="44" spans="2:11" x14ac:dyDescent="0.3">
      <c r="D44" s="9">
        <f t="shared" si="11"/>
        <v>2.026027397260274</v>
      </c>
      <c r="F44" s="9">
        <f t="shared" si="12"/>
        <v>218.94842868654311</v>
      </c>
      <c r="G44" s="8">
        <f t="shared" si="13"/>
        <v>372.21232876712327</v>
      </c>
      <c r="I44" s="18">
        <f t="shared" si="14"/>
        <v>0.53732771470106544</v>
      </c>
    </row>
    <row r="45" spans="2:11" x14ac:dyDescent="0.3">
      <c r="D45" s="9">
        <f t="shared" si="11"/>
        <v>2.1264155251141554</v>
      </c>
      <c r="F45" s="9">
        <f t="shared" si="12"/>
        <v>223.96783507923718</v>
      </c>
      <c r="G45" s="8">
        <f t="shared" si="13"/>
        <v>380.74531963470321</v>
      </c>
      <c r="I45" s="18">
        <f t="shared" si="14"/>
        <v>0.52528551156422654</v>
      </c>
    </row>
    <row r="46" spans="2:11" x14ac:dyDescent="0.3">
      <c r="D46" s="9">
        <f t="shared" si="11"/>
        <v>2.2268036529680368</v>
      </c>
      <c r="F46" s="9">
        <f t="shared" si="12"/>
        <v>228.98724147193127</v>
      </c>
      <c r="G46" s="8">
        <f t="shared" si="13"/>
        <v>389.27831050228315</v>
      </c>
      <c r="I46" s="18">
        <f t="shared" si="14"/>
        <v>0.51377123925024581</v>
      </c>
    </row>
    <row r="47" spans="2:11" x14ac:dyDescent="0.3">
      <c r="D47" s="9"/>
    </row>
    <row r="48" spans="2:11" x14ac:dyDescent="0.3">
      <c r="D48" s="9"/>
    </row>
    <row r="49" spans="4:4" x14ac:dyDescent="0.3">
      <c r="D49" s="9"/>
    </row>
  </sheetData>
  <sheetProtection sheet="1" objects="1" scenarios="1"/>
  <mergeCells count="4">
    <mergeCell ref="E18:I18"/>
    <mergeCell ref="E28:I28"/>
    <mergeCell ref="E38:G38"/>
    <mergeCell ref="B2:I2"/>
  </mergeCells>
  <pageMargins left="0.95" right="0.45" top="0.75" bottom="0.75" header="0.3" footer="0.3"/>
  <pageSetup orientation="portrait" r:id="rId1"/>
  <headerFooter>
    <oddFooter>&amp;L&amp;F&amp;R&amp;A</oddFooter>
  </headerFooter>
  <ignoredErrors>
    <ignoredError sqref="K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66"/>
  <sheetViews>
    <sheetView workbookViewId="0">
      <selection activeCell="G36" sqref="G36"/>
    </sheetView>
  </sheetViews>
  <sheetFormatPr defaultRowHeight="12.45" x14ac:dyDescent="0.3"/>
  <cols>
    <col min="1" max="1" width="3.4609375" customWidth="1"/>
    <col min="2" max="2" width="40.3828125" customWidth="1"/>
    <col min="3" max="3" width="20.15234375" customWidth="1"/>
    <col min="4" max="4" width="13.23046875" customWidth="1"/>
  </cols>
  <sheetData>
    <row r="1" spans="2:8" ht="17.600000000000001" x14ac:dyDescent="0.4">
      <c r="B1" s="255" t="s">
        <v>239</v>
      </c>
      <c r="C1" s="241"/>
      <c r="D1" s="241"/>
      <c r="E1" s="39"/>
      <c r="F1" s="39"/>
      <c r="G1" s="39"/>
    </row>
    <row r="2" spans="2:8" ht="15" x14ac:dyDescent="0.35">
      <c r="B2" s="40" t="s">
        <v>84</v>
      </c>
      <c r="C2" s="147">
        <f>'1.ProjectedCost&amp;Profitability '!F3</f>
        <v>44146</v>
      </c>
    </row>
    <row r="3" spans="2:8" ht="15" x14ac:dyDescent="0.35">
      <c r="B3" s="44" t="s">
        <v>116</v>
      </c>
      <c r="C3" s="66" t="s">
        <v>143</v>
      </c>
      <c r="D3" s="41"/>
    </row>
    <row r="4" spans="2:8" ht="15" x14ac:dyDescent="0.35">
      <c r="B4" s="44" t="s">
        <v>87</v>
      </c>
      <c r="C4" s="66" t="s">
        <v>156</v>
      </c>
      <c r="D4" s="41"/>
    </row>
    <row r="5" spans="2:8" ht="15" x14ac:dyDescent="0.35">
      <c r="B5" s="40" t="s">
        <v>85</v>
      </c>
      <c r="C5" s="256" t="s">
        <v>234</v>
      </c>
      <c r="D5" s="258"/>
      <c r="G5" s="42"/>
      <c r="H5" s="43"/>
    </row>
    <row r="6" spans="2:8" ht="15" x14ac:dyDescent="0.35">
      <c r="B6" s="44" t="s">
        <v>86</v>
      </c>
      <c r="C6" s="65" t="s">
        <v>231</v>
      </c>
      <c r="D6" s="46"/>
    </row>
    <row r="7" spans="2:8" ht="15" x14ac:dyDescent="0.35">
      <c r="B7" s="44" t="s">
        <v>117</v>
      </c>
      <c r="C7" s="65" t="s">
        <v>107</v>
      </c>
    </row>
    <row r="8" spans="2:8" ht="15" x14ac:dyDescent="0.35">
      <c r="B8" s="44" t="s">
        <v>195</v>
      </c>
      <c r="C8" s="65" t="s">
        <v>185</v>
      </c>
      <c r="D8" s="41"/>
    </row>
    <row r="9" spans="2:8" ht="15" x14ac:dyDescent="0.35">
      <c r="B9" s="44" t="s">
        <v>233</v>
      </c>
      <c r="C9" s="256" t="s">
        <v>232</v>
      </c>
      <c r="D9" s="257"/>
    </row>
    <row r="10" spans="2:8" ht="15.45" x14ac:dyDescent="0.4">
      <c r="B10" s="1" t="s">
        <v>115</v>
      </c>
      <c r="C10" s="180"/>
    </row>
    <row r="11" spans="2:8" ht="15" x14ac:dyDescent="0.35">
      <c r="B11" s="44" t="s">
        <v>88</v>
      </c>
      <c r="D11" s="45">
        <f>'1.ProjectedCost&amp;Profitability '!D6</f>
        <v>44146</v>
      </c>
    </row>
    <row r="12" spans="2:8" ht="15" x14ac:dyDescent="0.35">
      <c r="B12" s="44" t="s">
        <v>89</v>
      </c>
      <c r="C12" s="48" t="s">
        <v>90</v>
      </c>
      <c r="D12" s="49">
        <f>'1.ProjectedCost&amp;Profitability '!C9</f>
        <v>85</v>
      </c>
    </row>
    <row r="13" spans="2:8" ht="15" x14ac:dyDescent="0.35">
      <c r="B13" s="44" t="s">
        <v>181</v>
      </c>
      <c r="C13" s="48" t="s">
        <v>91</v>
      </c>
      <c r="D13" s="49">
        <f>'1.ProjectedCost&amp;Profitability '!D19</f>
        <v>56.666666666666664</v>
      </c>
    </row>
    <row r="14" spans="2:8" ht="15" x14ac:dyDescent="0.35">
      <c r="B14" s="40" t="s">
        <v>229</v>
      </c>
      <c r="C14" s="48" t="s">
        <v>92</v>
      </c>
      <c r="D14" s="69">
        <f>'1.ProjectedCost&amp;Profitability '!C20</f>
        <v>4</v>
      </c>
    </row>
    <row r="15" spans="2:8" ht="15" x14ac:dyDescent="0.35">
      <c r="B15" s="234" t="s">
        <v>230</v>
      </c>
      <c r="C15" s="48"/>
      <c r="D15" s="45">
        <f>'1.ProjectedCost&amp;Profitability '!F6</f>
        <v>44202.666666666664</v>
      </c>
    </row>
    <row r="16" spans="2:8" s="232" customFormat="1" ht="15" x14ac:dyDescent="0.35">
      <c r="B16" s="2"/>
      <c r="C16" s="48"/>
      <c r="D16" s="45"/>
    </row>
    <row r="17" spans="2:6" ht="15" x14ac:dyDescent="0.35">
      <c r="B17" s="40" t="s">
        <v>196</v>
      </c>
      <c r="C17" s="42" t="s">
        <v>90</v>
      </c>
      <c r="D17" s="50">
        <f>'1.ProjectedCost&amp;Profitability '!C22</f>
        <v>170</v>
      </c>
    </row>
    <row r="18" spans="2:6" ht="15" x14ac:dyDescent="0.35">
      <c r="B18" s="44" t="s">
        <v>93</v>
      </c>
      <c r="C18" s="42" t="s">
        <v>92</v>
      </c>
      <c r="D18" s="51">
        <f>'1.ProjectedCost&amp;Profitability '!C21</f>
        <v>0</v>
      </c>
    </row>
    <row r="19" spans="2:6" ht="15" x14ac:dyDescent="0.35">
      <c r="B19" s="44" t="s">
        <v>94</v>
      </c>
      <c r="C19" s="42" t="s">
        <v>95</v>
      </c>
      <c r="D19" s="50">
        <f>'1.ProjectedCost&amp;Profitability '!C22</f>
        <v>170</v>
      </c>
    </row>
    <row r="20" spans="2:6" ht="15" x14ac:dyDescent="0.35">
      <c r="B20" s="44" t="s">
        <v>96</v>
      </c>
      <c r="C20" s="42" t="s">
        <v>95</v>
      </c>
      <c r="D20" s="52">
        <f>'1.ProjectedCost&amp;Profitability '!F20</f>
        <v>85</v>
      </c>
    </row>
    <row r="21" spans="2:6" ht="15.45" x14ac:dyDescent="0.4">
      <c r="B21" s="53" t="s">
        <v>97</v>
      </c>
      <c r="C21" s="54" t="s">
        <v>98</v>
      </c>
      <c r="D21" s="55">
        <f>'1.ProjectedCost&amp;Profitability '!D22</f>
        <v>1.5</v>
      </c>
    </row>
    <row r="22" spans="2:6" ht="15" x14ac:dyDescent="0.35">
      <c r="C22" s="38"/>
      <c r="D22" s="47"/>
    </row>
    <row r="23" spans="2:6" ht="15.45" x14ac:dyDescent="0.4">
      <c r="B23" s="1" t="s">
        <v>114</v>
      </c>
      <c r="C23" s="154" t="s">
        <v>27</v>
      </c>
      <c r="D23" s="37" t="s">
        <v>3</v>
      </c>
    </row>
    <row r="24" spans="2:6" ht="15" x14ac:dyDescent="0.35">
      <c r="B24" s="44" t="s">
        <v>197</v>
      </c>
      <c r="C24" s="56">
        <f>(D24/'1.ProjectedCost&amp;Profitability '!C9)*100</f>
        <v>235.29411764705884</v>
      </c>
      <c r="D24" s="60">
        <f>'1.ProjectedCost&amp;Profitability '!C12</f>
        <v>200</v>
      </c>
    </row>
    <row r="25" spans="2:6" ht="15" x14ac:dyDescent="0.35">
      <c r="B25" s="44" t="s">
        <v>198</v>
      </c>
      <c r="C25" s="203">
        <f>'1.ProjectedCost&amp;Profitability '!C38</f>
        <v>200</v>
      </c>
      <c r="D25" s="203">
        <f>'1.ProjectedCost&amp;Profitability '!C40</f>
        <v>340</v>
      </c>
    </row>
    <row r="26" spans="2:6" ht="15.45" x14ac:dyDescent="0.4">
      <c r="B26" s="1" t="s">
        <v>99</v>
      </c>
      <c r="C26" s="58">
        <f>C25-C24</f>
        <v>-35.29411764705884</v>
      </c>
    </row>
    <row r="27" spans="2:6" s="153" customFormat="1" ht="15.45" x14ac:dyDescent="0.4">
      <c r="B27" s="152"/>
      <c r="C27" s="151"/>
      <c r="D27" s="58"/>
    </row>
    <row r="28" spans="2:6" s="153" customFormat="1" ht="15.45" x14ac:dyDescent="0.4">
      <c r="B28" s="152" t="s">
        <v>136</v>
      </c>
      <c r="C28" s="151" t="s">
        <v>101</v>
      </c>
      <c r="D28" s="151" t="s">
        <v>111</v>
      </c>
    </row>
    <row r="29" spans="2:6" s="153" customFormat="1" ht="15" x14ac:dyDescent="0.35">
      <c r="B29" s="44" t="s">
        <v>137</v>
      </c>
      <c r="C29" s="156">
        <f>D29/'1.ProjectedCost&amp;Profitability '!$C$24</f>
        <v>1.833333333333333</v>
      </c>
      <c r="D29" s="156">
        <f>'1.ProjectedCost&amp;Profitability '!F24</f>
        <v>155.83333333333331</v>
      </c>
    </row>
    <row r="30" spans="2:6" s="153" customFormat="1" ht="15" x14ac:dyDescent="0.35">
      <c r="B30" s="44" t="s">
        <v>71</v>
      </c>
      <c r="C30" s="156">
        <f>D30/'1.ProjectedCost&amp;Profitability '!$C$24</f>
        <v>6.6666666666666666E-2</v>
      </c>
      <c r="D30" s="156">
        <f>'1.ProjectedCost&amp;Profitability '!F28</f>
        <v>5.666666666666667</v>
      </c>
    </row>
    <row r="31" spans="2:6" s="153" customFormat="1" ht="15" x14ac:dyDescent="0.35">
      <c r="B31" s="44" t="s">
        <v>138</v>
      </c>
      <c r="C31" s="156">
        <f>D31/'1.ProjectedCost&amp;Profitability '!$C$24</f>
        <v>2.563926940639269E-2</v>
      </c>
      <c r="D31" s="156">
        <f>'1.ProjectedCost&amp;Profitability '!F32</f>
        <v>2.1793378995433788</v>
      </c>
    </row>
    <row r="32" spans="2:6" ht="15.45" x14ac:dyDescent="0.4">
      <c r="B32" s="207" t="s">
        <v>102</v>
      </c>
      <c r="C32" s="227">
        <f>D32/'1.ProjectedCost&amp;Profitability '!$C$24</f>
        <v>1.9256392694063924</v>
      </c>
      <c r="D32" s="212">
        <f>SUM(D29:D31)</f>
        <v>163.67933789954336</v>
      </c>
      <c r="F32" s="23" t="s">
        <v>211</v>
      </c>
    </row>
    <row r="33" spans="2:10" s="221" customFormat="1" ht="15.45" x14ac:dyDescent="0.4">
      <c r="B33" s="207"/>
      <c r="C33" s="207"/>
      <c r="D33" s="212"/>
      <c r="F33" s="2"/>
    </row>
    <row r="34" spans="2:10" s="220" customFormat="1" ht="15.45" x14ac:dyDescent="0.4">
      <c r="B34" s="53" t="s">
        <v>108</v>
      </c>
      <c r="C34" s="213">
        <f>'1.ProjectedCost&amp;Profitability '!C50</f>
        <v>1.6470588235294117</v>
      </c>
      <c r="D34" s="155"/>
      <c r="E34" s="155"/>
      <c r="F34" s="23" t="s">
        <v>218</v>
      </c>
      <c r="G34" s="155"/>
      <c r="H34" s="155"/>
      <c r="I34" s="155"/>
      <c r="J34" s="155"/>
    </row>
    <row r="35" spans="2:10" s="157" customFormat="1" x14ac:dyDescent="0.3">
      <c r="F35" s="2"/>
    </row>
    <row r="36" spans="2:10" s="157" customFormat="1" ht="15.45" x14ac:dyDescent="0.4">
      <c r="B36" s="207" t="s">
        <v>209</v>
      </c>
      <c r="C36" s="208"/>
      <c r="D36" s="209">
        <f>D24+D32</f>
        <v>363.67933789954338</v>
      </c>
      <c r="F36" s="2"/>
    </row>
    <row r="37" spans="2:10" s="157" customFormat="1" ht="15.45" x14ac:dyDescent="0.4">
      <c r="B37" s="74" t="s">
        <v>104</v>
      </c>
      <c r="C37" s="159"/>
      <c r="D37" s="213">
        <f>D25-D36</f>
        <v>-23.679337899543384</v>
      </c>
      <c r="F37" s="2"/>
    </row>
    <row r="38" spans="2:10" s="220" customFormat="1" x14ac:dyDescent="0.3">
      <c r="F38" s="2"/>
    </row>
    <row r="39" spans="2:10" ht="15.45" x14ac:dyDescent="0.4">
      <c r="B39" s="219" t="s">
        <v>215</v>
      </c>
      <c r="C39" s="7"/>
      <c r="D39" s="223">
        <f>'1.ProjectedCost&amp;Profitability '!C12</f>
        <v>200</v>
      </c>
      <c r="F39" s="233" t="s">
        <v>208</v>
      </c>
    </row>
    <row r="40" spans="2:10" ht="15.45" x14ac:dyDescent="0.4">
      <c r="B40" s="219" t="s">
        <v>216</v>
      </c>
      <c r="D40" s="224">
        <f>D39/D36</f>
        <v>0.54993500910751381</v>
      </c>
    </row>
    <row r="41" spans="2:10" s="220" customFormat="1" x14ac:dyDescent="0.3">
      <c r="B41" s="222" t="s">
        <v>208</v>
      </c>
    </row>
    <row r="42" spans="2:10" s="230" customFormat="1" ht="15.45" x14ac:dyDescent="0.4">
      <c r="B42" s="229" t="s">
        <v>220</v>
      </c>
      <c r="D42" s="158">
        <f>'1.ProjectedCost&amp;Profitability '!C12</f>
        <v>200</v>
      </c>
    </row>
    <row r="43" spans="2:10" s="230" customFormat="1" ht="15.45" x14ac:dyDescent="0.4">
      <c r="B43" s="229" t="s">
        <v>221</v>
      </c>
      <c r="D43" s="224">
        <f>D42/D36</f>
        <v>0.54993500910751381</v>
      </c>
    </row>
    <row r="44" spans="2:10" ht="15.45" x14ac:dyDescent="0.4">
      <c r="B44" s="53"/>
      <c r="C44" s="154" t="s">
        <v>27</v>
      </c>
      <c r="D44" s="154" t="s">
        <v>111</v>
      </c>
    </row>
    <row r="45" spans="2:10" ht="15.45" x14ac:dyDescent="0.4">
      <c r="B45" s="53" t="s">
        <v>100</v>
      </c>
      <c r="C45" s="59">
        <f>'1.ProjectedCost&amp;Profitability '!G37</f>
        <v>213.92902229384907</v>
      </c>
      <c r="D45" s="59">
        <f>'1.ProjectedCost&amp;Profitability '!F37</f>
        <v>363.67933789954338</v>
      </c>
    </row>
    <row r="46" spans="2:10" ht="15.45" x14ac:dyDescent="0.4">
      <c r="B46" s="53"/>
      <c r="D46" s="154" t="s">
        <v>111</v>
      </c>
    </row>
    <row r="47" spans="2:10" ht="15.45" x14ac:dyDescent="0.4">
      <c r="B47" s="1" t="s">
        <v>110</v>
      </c>
      <c r="D47" s="58">
        <f>'1.ProjectedCost&amp;Profitability '!D72</f>
        <v>-30.000000000000014</v>
      </c>
    </row>
    <row r="48" spans="2:10" ht="15.45" x14ac:dyDescent="0.4">
      <c r="B48" s="1" t="s">
        <v>180</v>
      </c>
      <c r="D48" s="58">
        <f>'1.ProjectedCost&amp;Profitability '!D73</f>
        <v>6.3206621004566452</v>
      </c>
    </row>
    <row r="49" spans="2:11" ht="15.45" x14ac:dyDescent="0.4">
      <c r="B49" s="74" t="s">
        <v>104</v>
      </c>
      <c r="C49" s="160"/>
      <c r="D49" s="75">
        <f>'1.ProjectedCost&amp;Profitability '!F47</f>
        <v>-23.679337899543384</v>
      </c>
      <c r="F49" s="64"/>
    </row>
    <row r="50" spans="2:11" ht="15.45" x14ac:dyDescent="0.4">
      <c r="C50" s="37"/>
      <c r="D50" s="61"/>
      <c r="F50" s="2" t="s">
        <v>112</v>
      </c>
      <c r="G50" s="200"/>
      <c r="H50" s="200"/>
      <c r="I50" s="200"/>
      <c r="J50" s="200"/>
      <c r="K50" s="200"/>
    </row>
    <row r="51" spans="2:11" ht="15.45" x14ac:dyDescent="0.4">
      <c r="B51" s="53" t="s">
        <v>105</v>
      </c>
      <c r="C51" s="54"/>
      <c r="D51" s="62">
        <f>'1.ProjectedCost&amp;Profitability '!C48</f>
        <v>-0.49326907967104938</v>
      </c>
      <c r="F51" s="2" t="s">
        <v>113</v>
      </c>
      <c r="G51" s="200"/>
      <c r="H51" s="200"/>
      <c r="I51" s="200"/>
      <c r="J51" s="200"/>
      <c r="K51" s="200"/>
    </row>
    <row r="52" spans="2:11" ht="15.45" x14ac:dyDescent="0.4">
      <c r="B52" s="53" t="s">
        <v>106</v>
      </c>
      <c r="F52" s="2"/>
    </row>
    <row r="53" spans="2:11" ht="15.45" x14ac:dyDescent="0.4">
      <c r="B53" s="1" t="s">
        <v>199</v>
      </c>
      <c r="C53" s="37" t="s">
        <v>103</v>
      </c>
      <c r="D53" s="158">
        <f>'1.ProjectedCost&amp;Profitability '!C56</f>
        <v>4</v>
      </c>
    </row>
    <row r="54" spans="2:11" ht="15.45" x14ac:dyDescent="0.4">
      <c r="B54" s="68" t="s">
        <v>200</v>
      </c>
      <c r="C54" s="54" t="s">
        <v>92</v>
      </c>
      <c r="D54" s="62">
        <f>'1.ProjectedCost&amp;Profitability '!G56</f>
        <v>0.14177099156670683</v>
      </c>
    </row>
    <row r="55" spans="2:11" ht="15.45" x14ac:dyDescent="0.4">
      <c r="B55" s="67" t="s">
        <v>202</v>
      </c>
      <c r="C55" s="37" t="s">
        <v>27</v>
      </c>
      <c r="D55" s="58">
        <f>'1.ProjectedCost&amp;Profitability '!F57</f>
        <v>216.28196347031962</v>
      </c>
    </row>
    <row r="56" spans="2:11" ht="15.45" x14ac:dyDescent="0.4">
      <c r="B56" s="1" t="s">
        <v>201</v>
      </c>
      <c r="C56" s="37" t="s">
        <v>27</v>
      </c>
      <c r="D56" s="58">
        <f>'1.ProjectedCost&amp;Profitability '!F56</f>
        <v>16.281963470319639</v>
      </c>
      <c r="F56" s="23"/>
      <c r="G56" s="23"/>
      <c r="H56" s="23"/>
    </row>
    <row r="57" spans="2:11" s="216" customFormat="1" ht="15.45" x14ac:dyDescent="0.4">
      <c r="B57" s="215"/>
      <c r="C57" s="214"/>
      <c r="D57" s="58"/>
      <c r="F57" s="23"/>
      <c r="G57" s="23"/>
      <c r="H57" s="23"/>
    </row>
    <row r="58" spans="2:11" ht="15" x14ac:dyDescent="0.35">
      <c r="B58" s="2" t="s">
        <v>206</v>
      </c>
      <c r="E58" s="63"/>
      <c r="F58" s="33"/>
      <c r="G58" s="57"/>
      <c r="H58" s="6"/>
    </row>
    <row r="59" spans="2:11" x14ac:dyDescent="0.3">
      <c r="B59" s="2" t="s">
        <v>207</v>
      </c>
    </row>
    <row r="64" spans="2:11" x14ac:dyDescent="0.3">
      <c r="E64" s="64"/>
    </row>
    <row r="65" spans="5:5" x14ac:dyDescent="0.3">
      <c r="E65" s="64"/>
    </row>
    <row r="66" spans="5:5" x14ac:dyDescent="0.3">
      <c r="E66" s="64"/>
    </row>
  </sheetData>
  <sheetProtection sheet="1" objects="1" scenarios="1"/>
  <mergeCells count="3">
    <mergeCell ref="B1:D1"/>
    <mergeCell ref="C9:D9"/>
    <mergeCell ref="C5:D5"/>
  </mergeCells>
  <pageMargins left="0.95" right="0.45" top="0.75" bottom="0.75" header="0.3" footer="0.3"/>
  <pageSetup scale="77" orientation="portrait" r:id="rId1"/>
  <headerFooter>
    <oddFooter>&amp;L&amp;F&amp;R&amp;A</oddFooter>
  </headerFooter>
  <ignoredErrors>
    <ignoredError sqref="D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19"/>
  <sheetViews>
    <sheetView topLeftCell="A11" workbookViewId="0">
      <selection activeCell="C18" sqref="C18"/>
    </sheetView>
  </sheetViews>
  <sheetFormatPr defaultRowHeight="12.45" x14ac:dyDescent="0.3"/>
  <cols>
    <col min="1" max="1" width="3.69140625" customWidth="1"/>
    <col min="2" max="2" width="92.15234375" customWidth="1"/>
  </cols>
  <sheetData>
    <row r="1" spans="2:8" ht="14.15" x14ac:dyDescent="0.35">
      <c r="B1" s="15" t="s">
        <v>160</v>
      </c>
    </row>
    <row r="2" spans="2:8" ht="14.15" x14ac:dyDescent="0.35">
      <c r="B2" s="15"/>
    </row>
    <row r="3" spans="2:8" ht="110.05" customHeight="1" x14ac:dyDescent="0.3">
      <c r="B3" s="14" t="s">
        <v>140</v>
      </c>
    </row>
    <row r="4" spans="2:8" ht="130" customHeight="1" x14ac:dyDescent="0.3">
      <c r="B4" s="22" t="s">
        <v>139</v>
      </c>
    </row>
    <row r="5" spans="2:8" ht="14.15" x14ac:dyDescent="0.35">
      <c r="B5" s="15"/>
    </row>
    <row r="6" spans="2:8" ht="30" customHeight="1" x14ac:dyDescent="0.3">
      <c r="B6" s="12" t="s">
        <v>142</v>
      </c>
    </row>
    <row r="7" spans="2:8" ht="120" customHeight="1" x14ac:dyDescent="0.3">
      <c r="B7" s="14" t="s">
        <v>109</v>
      </c>
    </row>
    <row r="8" spans="2:8" ht="120" customHeight="1" x14ac:dyDescent="0.3">
      <c r="B8" s="14" t="s">
        <v>5</v>
      </c>
    </row>
    <row r="9" spans="2:8" ht="60" customHeight="1" x14ac:dyDescent="0.3">
      <c r="B9" s="13" t="s">
        <v>141</v>
      </c>
    </row>
    <row r="10" spans="2:8" ht="14.15" x14ac:dyDescent="0.3">
      <c r="B10" s="13"/>
    </row>
    <row r="11" spans="2:8" ht="60" customHeight="1" x14ac:dyDescent="0.3">
      <c r="B11" s="14" t="s">
        <v>10</v>
      </c>
    </row>
    <row r="12" spans="2:8" ht="14.15" x14ac:dyDescent="0.3">
      <c r="B12" s="16"/>
    </row>
    <row r="13" spans="2:8" ht="14.15" x14ac:dyDescent="0.35">
      <c r="B13" s="225" t="s">
        <v>210</v>
      </c>
    </row>
    <row r="14" spans="2:8" ht="14.15" x14ac:dyDescent="0.35">
      <c r="B14" s="226" t="s">
        <v>227</v>
      </c>
      <c r="C14" s="221"/>
      <c r="D14" s="221"/>
      <c r="E14" s="221"/>
      <c r="F14" s="221"/>
      <c r="G14" s="221"/>
      <c r="H14" s="221"/>
    </row>
    <row r="16" spans="2:8" ht="14.15" x14ac:dyDescent="0.35">
      <c r="B16" s="226" t="s">
        <v>213</v>
      </c>
    </row>
    <row r="17" spans="2:2" ht="14.15" x14ac:dyDescent="0.35">
      <c r="B17" s="226" t="s">
        <v>212</v>
      </c>
    </row>
    <row r="18" spans="2:2" ht="14.15" x14ac:dyDescent="0.35">
      <c r="B18" s="23"/>
    </row>
    <row r="19" spans="2:2" ht="14.15" x14ac:dyDescent="0.35">
      <c r="B19" s="23" t="s">
        <v>217</v>
      </c>
    </row>
  </sheetData>
  <sheetProtection sheet="1" objects="1" scenarios="1" selectLockedCells="1" selectUnlockedCells="1"/>
  <pageMargins left="0.7" right="0.7" top="0.75" bottom="0.75" header="0.3" footer="0.3"/>
  <pageSetup scale="84" orientation="portrait"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1.ProjectedCost&amp;Profitability </vt:lpstr>
      <vt:lpstr>2. Sensitivity Table</vt:lpstr>
      <vt:lpstr>3. BenchmarkReport</vt:lpstr>
      <vt:lpstr>4. Definitions</vt:lpstr>
      <vt:lpstr>'1.ProjectedCost&amp;Profitability '!Print_Area</vt:lpstr>
      <vt:lpstr>'2. Sensitivity Table'!Print_Area</vt:lpstr>
      <vt:lpstr>'3. BenchmarkReport'!Print_Area</vt:lpstr>
      <vt:lpstr>'4. Definitions'!Print_Area</vt:lpstr>
    </vt:vector>
  </TitlesOfParts>
  <Company>Merck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Hill, DVM</dc:creator>
  <cp:lastModifiedBy>Jim McGrann</cp:lastModifiedBy>
  <cp:lastPrinted>2021-01-05T19:50:29Z</cp:lastPrinted>
  <dcterms:created xsi:type="dcterms:W3CDTF">2015-07-22T14:52:34Z</dcterms:created>
  <dcterms:modified xsi:type="dcterms:W3CDTF">2021-01-06T02:29:23Z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-927099198</vt:i4>
  </property>
  <property fmtid="{D5CDD505-2E9C-101B-9397-08002B2CF9AE}" pid="3" name="_NewReviewCycle">
    <vt:lpwstr/>
  </property>
  <property fmtid="{D5CDD505-2E9C-101B-9397-08002B2CF9AE}" pid="4" name="_EmailSubject">
    <vt:lpwstr>Preconditioning Spreadsheet</vt:lpwstr>
  </property>
  <property fmtid="{D5CDD505-2E9C-101B-9397-08002B2CF9AE}" pid="5" name="_AuthorEmail">
    <vt:lpwstr>kevin.hill@merck.com</vt:lpwstr>
  </property>
  <property fmtid="{D5CDD505-2E9C-101B-9397-08002B2CF9AE}" pid="6" name="_AuthorEmailDisplayName">
    <vt:lpwstr>Hill, Kevin</vt:lpwstr>
  </property>
  <property fmtid="{D5CDD505-2E9C-101B-9397-08002B2CF9AE}" pid="7" name="_ReviewingToolsShownOnce">
    <vt:lpwstr/>
  </property>
</Properties>
</file>