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20-2019 TAMU Decision Aids Additions\4. 2020 Cleanup Bulls 7-1-2020\"/>
    </mc:Choice>
  </mc:AlternateContent>
  <xr:revisionPtr revIDLastSave="0" documentId="13_ncr:1_{83D10C58-3CEF-4DFA-9C90-363089EDD184}" xr6:coauthVersionLast="45" xr6:coauthVersionMax="45" xr10:uidLastSave="{00000000-0000-0000-0000-000000000000}"/>
  <bookViews>
    <workbookView xWindow="-103" yWindow="-103" windowWidth="16663" windowHeight="8863" tabRatio="702" xr2:uid="{D03453CC-60B5-45B0-BF00-0B317B8E515B}"/>
  </bookViews>
  <sheets>
    <sheet name="Key Bull Data &amp; Results" sheetId="3" r:id="rId1"/>
    <sheet name="1. Lease Yearling Bull " sheetId="4" r:id="rId2"/>
    <sheet name="2. Owned Bull 2 Years" sheetId="1" r:id="rId3"/>
    <sheet name="3. Owned Bull 1 Breeding Season" sheetId="5" r:id="rId4"/>
  </sheets>
  <definedNames>
    <definedName name="_xlnm.Print_Area" localSheetId="1">'1. Lease Yearling Bull '!$B$1:$I$50</definedName>
    <definedName name="_xlnm.Print_Area" localSheetId="2">'2. Owned Bull 2 Years'!$B$1:$I$59</definedName>
    <definedName name="_xlnm.Print_Area" localSheetId="3">'3. Owned Bull 1 Breeding Season'!$B$1:$I$57</definedName>
    <definedName name="_xlnm.Print_Area" localSheetId="0">'Key Bull Data &amp; Results'!$B$2:$I$31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5" l="1"/>
  <c r="K53" i="5"/>
  <c r="G53" i="5"/>
  <c r="I53" i="5" s="1"/>
  <c r="K52" i="5"/>
  <c r="G52" i="5"/>
  <c r="I52" i="5" s="1"/>
  <c r="K51" i="5"/>
  <c r="G51" i="5"/>
  <c r="I51" i="5" s="1"/>
  <c r="K50" i="5"/>
  <c r="G50" i="5"/>
  <c r="I50" i="5" s="1"/>
  <c r="K49" i="5"/>
  <c r="G49" i="5"/>
  <c r="I49" i="5" s="1"/>
  <c r="L57" i="1"/>
  <c r="C14" i="1" s="1"/>
  <c r="J31" i="1" s="1"/>
  <c r="J20" i="1" s="1"/>
  <c r="H46" i="1"/>
  <c r="G57" i="1" s="1"/>
  <c r="K55" i="1"/>
  <c r="I55" i="1"/>
  <c r="G55" i="1"/>
  <c r="K54" i="1"/>
  <c r="G54" i="1"/>
  <c r="I54" i="1" s="1"/>
  <c r="K53" i="1"/>
  <c r="G53" i="1"/>
  <c r="I53" i="1" s="1"/>
  <c r="K52" i="1"/>
  <c r="G52" i="1"/>
  <c r="I52" i="1" s="1"/>
  <c r="K51" i="1"/>
  <c r="I51" i="1"/>
  <c r="G51" i="1"/>
  <c r="K50" i="1"/>
  <c r="G50" i="1"/>
  <c r="I50" i="1" s="1"/>
  <c r="K49" i="1"/>
  <c r="K56" i="1" s="1"/>
  <c r="L56" i="1" s="1"/>
  <c r="H58" i="1" s="1"/>
  <c r="I49" i="1"/>
  <c r="I56" i="1" s="1"/>
  <c r="G49" i="1"/>
  <c r="H39" i="4"/>
  <c r="G48" i="4" s="1"/>
  <c r="K46" i="4"/>
  <c r="G46" i="4"/>
  <c r="I46" i="4" s="1"/>
  <c r="K45" i="4"/>
  <c r="I45" i="4"/>
  <c r="G45" i="4"/>
  <c r="K44" i="4"/>
  <c r="G44" i="4"/>
  <c r="I44" i="4" s="1"/>
  <c r="K43" i="4"/>
  <c r="G43" i="4"/>
  <c r="I43" i="4" s="1"/>
  <c r="K42" i="4"/>
  <c r="G42" i="4"/>
  <c r="I42" i="4" s="1"/>
  <c r="K47" i="4" l="1"/>
  <c r="L47" i="4" s="1"/>
  <c r="K54" i="5"/>
  <c r="L54" i="5" s="1"/>
  <c r="L55" i="5" s="1"/>
  <c r="C14" i="5" s="1"/>
  <c r="J31" i="5" s="1"/>
  <c r="J20" i="5" s="1"/>
  <c r="I54" i="5"/>
  <c r="I58" i="1"/>
  <c r="E10" i="1" s="1"/>
  <c r="I47" i="4"/>
  <c r="I49" i="4" s="1"/>
  <c r="E12" i="4" s="1"/>
  <c r="H49" i="4" l="1"/>
  <c r="L48" i="4"/>
  <c r="C16" i="4" s="1"/>
  <c r="J17" i="4" s="1"/>
  <c r="H56" i="5"/>
  <c r="E16" i="4" l="1"/>
  <c r="E18" i="4" s="1"/>
  <c r="E14" i="1"/>
  <c r="E15" i="1" s="1"/>
  <c r="F16" i="4" l="1"/>
  <c r="F14" i="1"/>
  <c r="H26" i="3" l="1"/>
  <c r="H17" i="3"/>
  <c r="E4" i="5" l="1"/>
  <c r="E4" i="1"/>
  <c r="E4" i="4"/>
  <c r="G26" i="5" l="1"/>
  <c r="I26" i="3"/>
  <c r="I17" i="3"/>
  <c r="H9" i="3"/>
  <c r="C34" i="5" l="1"/>
  <c r="G29" i="5"/>
  <c r="F12" i="5"/>
  <c r="F11" i="5"/>
  <c r="L7" i="5"/>
  <c r="C4" i="5"/>
  <c r="C37" i="5" s="1"/>
  <c r="E5" i="3"/>
  <c r="F5" i="3" s="1"/>
  <c r="D5" i="1" s="1"/>
  <c r="D6" i="5" l="1"/>
  <c r="F6" i="5" s="1"/>
  <c r="F7" i="1"/>
  <c r="E19" i="5"/>
  <c r="F19" i="5" s="1"/>
  <c r="G19" i="5" s="1"/>
  <c r="G11" i="5"/>
  <c r="G12" i="5"/>
  <c r="E21" i="5"/>
  <c r="F21" i="5" s="1"/>
  <c r="G21" i="5" s="1"/>
  <c r="F38" i="5"/>
  <c r="C28" i="3" s="1"/>
  <c r="C38" i="5"/>
  <c r="F41" i="5"/>
  <c r="E20" i="5" s="1"/>
  <c r="F12" i="1"/>
  <c r="F11" i="1"/>
  <c r="F10" i="1"/>
  <c r="L7" i="1"/>
  <c r="G26" i="1"/>
  <c r="E22" i="4"/>
  <c r="E25" i="4" s="1"/>
  <c r="F17" i="4"/>
  <c r="G17" i="4" s="1"/>
  <c r="F14" i="4"/>
  <c r="G14" i="4" s="1"/>
  <c r="F13" i="4"/>
  <c r="G13" i="4" s="1"/>
  <c r="G9" i="3"/>
  <c r="C4" i="4"/>
  <c r="F24" i="4"/>
  <c r="G24" i="4" s="1"/>
  <c r="F23" i="4"/>
  <c r="G23" i="4" s="1"/>
  <c r="C4" i="1"/>
  <c r="D5" i="4"/>
  <c r="F24" i="1" l="1"/>
  <c r="G14" i="1"/>
  <c r="C34" i="4"/>
  <c r="G16" i="4"/>
  <c r="F9" i="4"/>
  <c r="F12" i="4" s="1"/>
  <c r="G12" i="4" s="1"/>
  <c r="G7" i="4"/>
  <c r="J27" i="4"/>
  <c r="F24" i="5"/>
  <c r="H41" i="5"/>
  <c r="F42" i="5"/>
  <c r="H42" i="5" s="1"/>
  <c r="G11" i="1"/>
  <c r="G10" i="1"/>
  <c r="G12" i="1"/>
  <c r="C30" i="4"/>
  <c r="C35" i="4" s="1"/>
  <c r="F22" i="4"/>
  <c r="F38" i="1"/>
  <c r="C19" i="3" s="1"/>
  <c r="C34" i="1"/>
  <c r="F15" i="1"/>
  <c r="G15" i="1" s="1"/>
  <c r="G29" i="1"/>
  <c r="F41" i="1" s="1"/>
  <c r="E21" i="1"/>
  <c r="F21" i="1" s="1"/>
  <c r="G21" i="1" s="1"/>
  <c r="C37" i="1"/>
  <c r="F18" i="4" l="1"/>
  <c r="G18" i="4" s="1"/>
  <c r="F20" i="5"/>
  <c r="G20" i="5" s="1"/>
  <c r="E22" i="5"/>
  <c r="D26" i="3" s="1"/>
  <c r="E19" i="1"/>
  <c r="F19" i="1" s="1"/>
  <c r="G19" i="1" s="1"/>
  <c r="G22" i="4"/>
  <c r="F25" i="4"/>
  <c r="G25" i="4" s="1"/>
  <c r="E19" i="4"/>
  <c r="E31" i="4"/>
  <c r="G31" i="4" s="1"/>
  <c r="H31" i="4" s="1"/>
  <c r="H41" i="1"/>
  <c r="E20" i="1"/>
  <c r="F42" i="1"/>
  <c r="H42" i="1" s="1"/>
  <c r="C38" i="1"/>
  <c r="E16" i="1"/>
  <c r="F16" i="1" l="1"/>
  <c r="G16" i="1" s="1"/>
  <c r="E17" i="3"/>
  <c r="F22" i="5"/>
  <c r="G22" i="5" s="1"/>
  <c r="F20" i="1"/>
  <c r="G20" i="1" s="1"/>
  <c r="F19" i="4"/>
  <c r="E27" i="4"/>
  <c r="E22" i="1"/>
  <c r="D17" i="3" s="1"/>
  <c r="E35" i="1"/>
  <c r="G35" i="1" s="1"/>
  <c r="H35" i="1" s="1"/>
  <c r="E24" i="1" l="1"/>
  <c r="F22" i="1"/>
  <c r="G22" i="1" s="1"/>
  <c r="J26" i="4"/>
  <c r="E30" i="4"/>
  <c r="G19" i="4"/>
  <c r="F27" i="4"/>
  <c r="G27" i="4" s="1"/>
  <c r="J25" i="4"/>
  <c r="G24" i="1" l="1"/>
  <c r="F17" i="3"/>
  <c r="E34" i="1"/>
  <c r="E36" i="1" s="1"/>
  <c r="G36" i="1" s="1"/>
  <c r="G30" i="4"/>
  <c r="H30" i="4" s="1"/>
  <c r="E32" i="4"/>
  <c r="G34" i="1" l="1"/>
  <c r="H34" i="1" s="1"/>
  <c r="G32" i="4"/>
  <c r="H32" i="4" s="1"/>
  <c r="F10" i="3" s="1"/>
  <c r="E10" i="3"/>
  <c r="D10" i="3" s="1"/>
  <c r="G37" i="1"/>
  <c r="H36" i="1"/>
  <c r="G17" i="3" s="1"/>
  <c r="E14" i="5"/>
  <c r="F14" i="5" l="1"/>
  <c r="G14" i="5" s="1"/>
  <c r="G55" i="5"/>
  <c r="I56" i="5"/>
  <c r="E10" i="5"/>
  <c r="E15" i="5"/>
  <c r="E16" i="5"/>
  <c r="E24" i="5"/>
  <c r="G24" i="5" s="1"/>
  <c r="E34" i="5"/>
  <c r="E36" i="5" s="1"/>
  <c r="G36" i="5" s="1"/>
  <c r="E35" i="5"/>
  <c r="F16" i="5"/>
  <c r="G16" i="5"/>
  <c r="E26" i="3"/>
  <c r="F15" i="5"/>
  <c r="G15" i="5"/>
  <c r="G35" i="5"/>
  <c r="H35" i="5" s="1"/>
  <c r="F10" i="5"/>
  <c r="G10" i="5"/>
  <c r="H36" i="5" l="1"/>
  <c r="G26" i="3" s="1"/>
  <c r="G37" i="5"/>
  <c r="G34" i="5"/>
  <c r="H34" i="5" s="1"/>
  <c r="F26" i="3"/>
</calcChain>
</file>

<file path=xl/sharedStrings.xml><?xml version="1.0" encoding="utf-8"?>
<sst xmlns="http://schemas.openxmlformats.org/spreadsheetml/2006/main" count="328" uniqueCount="153">
  <si>
    <t>Bulls Required</t>
  </si>
  <si>
    <t>Cannot have a fraction of a bull.</t>
  </si>
  <si>
    <t>Operating Cost</t>
  </si>
  <si>
    <t>Annual per Bull Cost</t>
  </si>
  <si>
    <t xml:space="preserve">Other Cost </t>
  </si>
  <si>
    <t>Veterinary Medicine</t>
  </si>
  <si>
    <t>With Trick test.</t>
  </si>
  <si>
    <t>Annual Interest on (1/2) of Operating Cost</t>
  </si>
  <si>
    <t>Annual Operating Cost</t>
  </si>
  <si>
    <t>Ownership Costs</t>
  </si>
  <si>
    <t>Depreciation</t>
  </si>
  <si>
    <t>Total Per Bull</t>
  </si>
  <si>
    <t>Annual Ownership Cost</t>
  </si>
  <si>
    <t>Interest</t>
  </si>
  <si>
    <t xml:space="preserve"> Purchase Cost including Freight</t>
  </si>
  <si>
    <t>Useful Life - Years</t>
  </si>
  <si>
    <t>Wt. Lb./Hd.</t>
  </si>
  <si>
    <t>$/Cwt.</t>
  </si>
  <si>
    <t xml:space="preserve">  $/Head</t>
  </si>
  <si>
    <t xml:space="preserve">Bull Salvage Value </t>
  </si>
  <si>
    <t>Interest Rate Used</t>
  </si>
  <si>
    <t>%</t>
  </si>
  <si>
    <t>________________________________________________________________________________________</t>
  </si>
  <si>
    <t>Head Required</t>
  </si>
  <si>
    <t>Per Bull</t>
  </si>
  <si>
    <t>Total Cost</t>
  </si>
  <si>
    <t>Per Exposed</t>
  </si>
  <si>
    <t>Total for Bulls Required &amp; Costs</t>
  </si>
  <si>
    <t>Non Interest</t>
  </si>
  <si>
    <t>Total</t>
  </si>
  <si>
    <t>Exposed Females</t>
  </si>
  <si>
    <t>Investment</t>
  </si>
  <si>
    <t>Head</t>
  </si>
  <si>
    <t>_____________________________________________________________________________________</t>
  </si>
  <si>
    <t>*Average investment is cost plus salvage value divided by 2. or</t>
  </si>
  <si>
    <t>Average Investment in Bulls</t>
  </si>
  <si>
    <t>Comments:</t>
  </si>
  <si>
    <t>Cleanup bull used 2 years</t>
  </si>
  <si>
    <t>Months</t>
  </si>
  <si>
    <t xml:space="preserve">Purchase </t>
  </si>
  <si>
    <t>Cost</t>
  </si>
  <si>
    <t>Annual</t>
  </si>
  <si>
    <t>Maintenance</t>
  </si>
  <si>
    <t xml:space="preserve">1. Bull Lease </t>
  </si>
  <si>
    <t>Total - Head</t>
  </si>
  <si>
    <t xml:space="preserve">Exposed Heifers </t>
  </si>
  <si>
    <t>Total Annual</t>
  </si>
  <si>
    <t xml:space="preserve">Yearling Bull </t>
  </si>
  <si>
    <t>*Based in 50% of bulls yearlings and 50% two years old,</t>
  </si>
  <si>
    <t>AI Pregnancy %</t>
  </si>
  <si>
    <t>Annual Lease Cost</t>
  </si>
  <si>
    <t>Insurance Fee</t>
  </si>
  <si>
    <t>Leased Cleanup bull used 1 year</t>
  </si>
  <si>
    <t>Total Bull Cost</t>
  </si>
  <si>
    <t>______________________________________________________________________________________________</t>
  </si>
  <si>
    <t xml:space="preserve">Annual per Heifer Service Cost </t>
  </si>
  <si>
    <t>Annual Bull Lease Fees</t>
  </si>
  <si>
    <t xml:space="preserve">Without operating interest </t>
  </si>
  <si>
    <t>Capital Asset Investment</t>
  </si>
  <si>
    <t xml:space="preserve">Interest or average investment </t>
  </si>
  <si>
    <t>Total Cost per Bull, Total  and Heifers Exposed</t>
  </si>
  <si>
    <t xml:space="preserve">per Exposed </t>
  </si>
  <si>
    <t>Heifers</t>
  </si>
  <si>
    <t>Per Bulls</t>
  </si>
  <si>
    <t>Bulls</t>
  </si>
  <si>
    <t>Required</t>
  </si>
  <si>
    <t>Cost/Bull</t>
  </si>
  <si>
    <t>Lease Fee*</t>
  </si>
  <si>
    <t>Annual Lease Fee - See Sheet 1.</t>
  </si>
  <si>
    <t>Calculated Required based on AI Pregnancy - Head</t>
  </si>
  <si>
    <t>1/2 Yearling</t>
  </si>
  <si>
    <t>1/2 2 Yr. Old</t>
  </si>
  <si>
    <t>Average</t>
  </si>
  <si>
    <t>% Open</t>
  </si>
  <si>
    <t>Head Open</t>
  </si>
  <si>
    <t xml:space="preserve">Total Cost, Number bulls and per Bull Cost </t>
  </si>
  <si>
    <t>Heif. Per Bull</t>
  </si>
  <si>
    <t xml:space="preserve">  Per Bull</t>
  </si>
  <si>
    <t>Ownership Cost</t>
  </si>
  <si>
    <t xml:space="preserve">   Cleanup</t>
  </si>
  <si>
    <t>Cleanup</t>
  </si>
  <si>
    <t xml:space="preserve">Calculated Open Heifers </t>
  </si>
  <si>
    <t>Annual Herd Cleanup Bull Cost Calculator Per Bull and for Total Exposed Heifers</t>
  </si>
  <si>
    <t>Heifers per Cleanup Bull</t>
  </si>
  <si>
    <t xml:space="preserve">      Bulls Required</t>
  </si>
  <si>
    <t>Calculated Hd.</t>
  </si>
  <si>
    <t>Heifers - AI Exposed - Head</t>
  </si>
  <si>
    <t xml:space="preserve">AI Bred </t>
  </si>
  <si>
    <t>AI Bred</t>
  </si>
  <si>
    <t xml:space="preserve">            Open Heifers Per Bull</t>
  </si>
  <si>
    <t xml:space="preserve">                    Open Heifers Per Bull</t>
  </si>
  <si>
    <t xml:space="preserve">                       Open Heifers Per Bull</t>
  </si>
  <si>
    <t>Annual Cleanup Bull Cost Calculator Per Bull and for Total Exposed Heifers</t>
  </si>
  <si>
    <t>Annual Herd Cleanup Bull Lease Cost Calculator Per Bull and for Total Exposed Heifers</t>
  </si>
  <si>
    <t>Exposed Females &amp; Per Exposed</t>
  </si>
  <si>
    <t>________________________________________________________________________________________________</t>
  </si>
  <si>
    <t>**Based use of yearlings and sale at end of breeding season.</t>
  </si>
  <si>
    <t>Alternatives for Cleanup Bulls</t>
  </si>
  <si>
    <t>Total Bulls Initial Investment</t>
  </si>
  <si>
    <t xml:space="preserve">Bulls leased </t>
  </si>
  <si>
    <t>3. Bull Used 1 Season**</t>
  </si>
  <si>
    <t>Cleanup bull used 1 breeding season</t>
  </si>
  <si>
    <t>Days/Year</t>
  </si>
  <si>
    <t xml:space="preserve"> Cost-$/Day</t>
  </si>
  <si>
    <t>Yardage of Indirect Cost</t>
  </si>
  <si>
    <t>Annual Cleanup Bulls Feeding and Grazing Costs</t>
  </si>
  <si>
    <t xml:space="preserve"> Cleanup Bulls Used Annually - Hd.</t>
  </si>
  <si>
    <t>Bulls used in 2 breeding seasons.</t>
  </si>
  <si>
    <t>Calculated</t>
  </si>
  <si>
    <t>Cost for</t>
  </si>
  <si>
    <t>Period Covered and Source</t>
  </si>
  <si>
    <t>Months/Hd.</t>
  </si>
  <si>
    <t>Per Month</t>
  </si>
  <si>
    <t>Period/Hd.</t>
  </si>
  <si>
    <t>Pre Breeding Months</t>
  </si>
  <si>
    <t>New Purchased Bulls</t>
  </si>
  <si>
    <t>Breeding Season</t>
  </si>
  <si>
    <t>Summer Grazing</t>
  </si>
  <si>
    <t>Wintering Bulls</t>
  </si>
  <si>
    <t>Other</t>
  </si>
  <si>
    <t xml:space="preserve">        Days</t>
  </si>
  <si>
    <t xml:space="preserve">Total </t>
  </si>
  <si>
    <t>Cost Per Day</t>
  </si>
  <si>
    <t>Per Head</t>
  </si>
  <si>
    <t>Total Grazing and Feeding Days and Cost</t>
  </si>
  <si>
    <t>Cull bulls in August after breeding and replace in February for breeding season.</t>
  </si>
  <si>
    <t>Bulls used in one breeding seasons.</t>
  </si>
  <si>
    <t>Sell Bull</t>
  </si>
  <si>
    <t>Bulls leased for one breeding seasons.</t>
  </si>
  <si>
    <t>Return Bull</t>
  </si>
  <si>
    <t>Days/Head</t>
  </si>
  <si>
    <t>Feed and Grazing - See calculations below.</t>
  </si>
  <si>
    <t xml:space="preserve">             Head Utilized in Breeding Season</t>
  </si>
  <si>
    <t xml:space="preserve">                  Head Utilized in Breeding Season</t>
  </si>
  <si>
    <t xml:space="preserve">                 Head</t>
  </si>
  <si>
    <t xml:space="preserve">       Head</t>
  </si>
  <si>
    <t xml:space="preserve">        Head</t>
  </si>
  <si>
    <t xml:space="preserve">          Total </t>
  </si>
  <si>
    <t xml:space="preserve">           Total </t>
  </si>
  <si>
    <t xml:space="preserve">                         Head Utilized in Breeding Season</t>
  </si>
  <si>
    <t>Total Bull Cost/Hd.</t>
  </si>
  <si>
    <t>Cost/Hd.</t>
  </si>
  <si>
    <t>Used in one breeding season then castrate and feedyard finish for harvest.</t>
  </si>
  <si>
    <t>Cull bulls in August after breeding ends and replace in February for next breeding season.</t>
  </si>
  <si>
    <t>Bulls leased for annual breeding season.</t>
  </si>
  <si>
    <t xml:space="preserve">                                                         Heifers per Cleanup Bull</t>
  </si>
  <si>
    <t xml:space="preserve">         Heifers per Cleanup Bull</t>
  </si>
  <si>
    <t>Interest on Lease + (1/2) of Operating and Lease Cost</t>
  </si>
  <si>
    <t>Interest Rate - Is adjusted for days used.</t>
  </si>
  <si>
    <t>Interest rate % adjusted for days held</t>
  </si>
  <si>
    <t>Interest - Is adjusted for days used.</t>
  </si>
  <si>
    <t>Death Loss Purchase Cost</t>
  </si>
  <si>
    <t>2. Bull Used 2 - Years*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</si>
</sst>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mmmm\ d\,\ yyyy"/>
    <numFmt numFmtId="165" formatCode="0.0"/>
    <numFmt numFmtId="166" formatCode="&quot;$&quot;#,##0"/>
    <numFmt numFmtId="167" formatCode="&quot;$&quot;#,##0.00"/>
    <numFmt numFmtId="168" formatCode="0.0_);[Red]\(0.0\)"/>
    <numFmt numFmtId="169" formatCode="#,##0.0"/>
    <numFmt numFmtId="170" formatCode="mm/dd/yy;@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indexed="39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i/>
      <sz val="12"/>
      <name val="Arial"/>
      <family val="2"/>
    </font>
    <font>
      <sz val="11"/>
      <color rgb="FF0000FF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sz val="12"/>
      <color indexed="3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color rgb="FF0000FF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39"/>
      <name val="Arial"/>
      <family val="2"/>
    </font>
    <font>
      <b/>
      <sz val="12"/>
      <color rgb="FF3333FF"/>
      <name val="Arial"/>
      <family val="2"/>
    </font>
    <font>
      <sz val="12"/>
      <color rgb="FF3333FF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3333FF"/>
      <name val="Arial"/>
      <family val="2"/>
    </font>
    <font>
      <b/>
      <sz val="11"/>
      <color rgb="FF3333FF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/>
    <xf numFmtId="3" fontId="7" fillId="0" borderId="1" xfId="0" applyNumberFormat="1" applyFont="1" applyBorder="1"/>
    <xf numFmtId="0" fontId="8" fillId="0" borderId="0" xfId="0" applyFont="1"/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66" fontId="13" fillId="0" borderId="0" xfId="0" applyNumberFormat="1" applyFont="1" applyProtection="1">
      <protection locked="0"/>
    </xf>
    <xf numFmtId="167" fontId="14" fillId="0" borderId="0" xfId="0" applyNumberFormat="1" applyFont="1"/>
    <xf numFmtId="167" fontId="12" fillId="0" borderId="0" xfId="0" applyNumberFormat="1" applyFont="1"/>
    <xf numFmtId="0" fontId="15" fillId="0" borderId="0" xfId="0" applyFont="1"/>
    <xf numFmtId="166" fontId="12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6" fontId="12" fillId="0" borderId="0" xfId="0" applyNumberFormat="1" applyFont="1"/>
    <xf numFmtId="167" fontId="0" fillId="0" borderId="0" xfId="0" applyNumberFormat="1"/>
    <xf numFmtId="0" fontId="16" fillId="0" borderId="0" xfId="0" applyFont="1"/>
    <xf numFmtId="3" fontId="4" fillId="0" borderId="0" xfId="0" applyNumberFormat="1" applyFont="1"/>
    <xf numFmtId="167" fontId="17" fillId="0" borderId="0" xfId="0" applyNumberFormat="1" applyFont="1"/>
    <xf numFmtId="6" fontId="18" fillId="0" borderId="1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6" fontId="0" fillId="0" borderId="0" xfId="0" applyNumberFormat="1"/>
    <xf numFmtId="3" fontId="13" fillId="0" borderId="0" xfId="0" applyNumberFormat="1" applyFont="1" applyProtection="1">
      <protection locked="0"/>
    </xf>
    <xf numFmtId="167" fontId="19" fillId="0" borderId="0" xfId="0" applyNumberFormat="1" applyFont="1" applyProtection="1">
      <protection locked="0"/>
    </xf>
    <xf numFmtId="165" fontId="0" fillId="0" borderId="0" xfId="0" applyNumberFormat="1"/>
    <xf numFmtId="168" fontId="12" fillId="0" borderId="0" xfId="1" applyNumberFormat="1" applyFont="1" applyAlignment="1" applyProtection="1">
      <alignment horizontal="right"/>
    </xf>
    <xf numFmtId="8" fontId="4" fillId="0" borderId="0" xfId="0" applyNumberFormat="1" applyFont="1"/>
    <xf numFmtId="168" fontId="4" fillId="0" borderId="0" xfId="1" applyNumberFormat="1" applyFont="1" applyAlignment="1" applyProtection="1">
      <alignment horizontal="right"/>
    </xf>
    <xf numFmtId="8" fontId="20" fillId="0" borderId="0" xfId="0" applyNumberFormat="1" applyFont="1"/>
    <xf numFmtId="166" fontId="17" fillId="0" borderId="0" xfId="0" applyNumberFormat="1" applyFont="1"/>
    <xf numFmtId="0" fontId="17" fillId="0" borderId="0" xfId="0" applyFont="1"/>
    <xf numFmtId="166" fontId="12" fillId="0" borderId="0" xfId="1" applyNumberFormat="1" applyFont="1" applyAlignment="1" applyProtection="1">
      <alignment horizontal="right"/>
    </xf>
    <xf numFmtId="0" fontId="21" fillId="0" borderId="0" xfId="0" applyFont="1"/>
    <xf numFmtId="167" fontId="2" fillId="0" borderId="0" xfId="0" applyNumberFormat="1" applyFont="1"/>
    <xf numFmtId="1" fontId="4" fillId="0" borderId="0" xfId="0" applyNumberFormat="1" applyFont="1"/>
    <xf numFmtId="3" fontId="2" fillId="0" borderId="0" xfId="0" applyNumberFormat="1" applyFont="1"/>
    <xf numFmtId="6" fontId="4" fillId="0" borderId="0" xfId="0" applyNumberFormat="1" applyFont="1"/>
    <xf numFmtId="3" fontId="12" fillId="0" borderId="0" xfId="0" applyNumberFormat="1" applyFont="1"/>
    <xf numFmtId="8" fontId="0" fillId="0" borderId="0" xfId="0" applyNumberFormat="1"/>
    <xf numFmtId="1" fontId="23" fillId="0" borderId="0" xfId="0" applyNumberFormat="1" applyFont="1" applyAlignment="1">
      <alignment horizontal="right"/>
    </xf>
    <xf numFmtId="164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1" fontId="23" fillId="0" borderId="1" xfId="0" applyNumberFormat="1" applyFont="1" applyBorder="1" applyAlignment="1">
      <alignment horizontal="right"/>
    </xf>
    <xf numFmtId="0" fontId="2" fillId="0" borderId="0" xfId="0" applyFont="1"/>
    <xf numFmtId="166" fontId="23" fillId="0" borderId="1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0" fontId="25" fillId="0" borderId="0" xfId="0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165" fontId="2" fillId="0" borderId="0" xfId="0" applyNumberFormat="1" applyFont="1"/>
    <xf numFmtId="167" fontId="4" fillId="0" borderId="0" xfId="0" applyNumberFormat="1" applyFont="1" applyBorder="1"/>
    <xf numFmtId="166" fontId="0" fillId="0" borderId="0" xfId="0" applyNumberFormat="1"/>
    <xf numFmtId="166" fontId="12" fillId="0" borderId="0" xfId="0" applyNumberFormat="1" applyFont="1" applyProtection="1"/>
    <xf numFmtId="6" fontId="4" fillId="0" borderId="5" xfId="0" applyNumberFormat="1" applyFont="1" applyBorder="1" applyProtection="1"/>
    <xf numFmtId="164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0" fillId="0" borderId="0" xfId="0" applyNumberFormat="1"/>
    <xf numFmtId="1" fontId="4" fillId="0" borderId="0" xfId="0" applyNumberFormat="1" applyFont="1" applyAlignment="1">
      <alignment horizontal="left"/>
    </xf>
    <xf numFmtId="0" fontId="21" fillId="0" borderId="0" xfId="0" applyFont="1" applyAlignment="1" applyProtection="1">
      <alignment horizontal="left"/>
      <protection locked="0"/>
    </xf>
    <xf numFmtId="165" fontId="4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6" fontId="18" fillId="0" borderId="0" xfId="0" applyNumberFormat="1" applyFont="1" applyBorder="1" applyProtection="1">
      <protection locked="0"/>
    </xf>
    <xf numFmtId="6" fontId="4" fillId="0" borderId="0" xfId="0" applyNumberFormat="1" applyFont="1" applyBorder="1" applyProtection="1"/>
    <xf numFmtId="6" fontId="2" fillId="0" borderId="0" xfId="0" applyNumberFormat="1" applyFont="1"/>
    <xf numFmtId="166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 applyBorder="1"/>
    <xf numFmtId="9" fontId="2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20" fillId="0" borderId="0" xfId="0" applyFont="1"/>
    <xf numFmtId="169" fontId="13" fillId="0" borderId="1" xfId="0" applyNumberFormat="1" applyFont="1" applyBorder="1" applyProtection="1">
      <protection locked="0"/>
    </xf>
    <xf numFmtId="167" fontId="14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170" fontId="19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" fontId="24" fillId="0" borderId="0" xfId="0" applyNumberFormat="1" applyFont="1"/>
    <xf numFmtId="0" fontId="0" fillId="0" borderId="0" xfId="0" applyProtection="1">
      <protection locked="0"/>
    </xf>
    <xf numFmtId="1" fontId="2" fillId="0" borderId="0" xfId="0" applyNumberFormat="1" applyFont="1" applyProtection="1">
      <protection locked="0"/>
    </xf>
    <xf numFmtId="0" fontId="26" fillId="0" borderId="0" xfId="0" applyFont="1"/>
    <xf numFmtId="166" fontId="2" fillId="0" borderId="0" xfId="0" applyNumberFormat="1" applyFont="1"/>
    <xf numFmtId="1" fontId="2" fillId="0" borderId="0" xfId="0" applyNumberFormat="1" applyFont="1"/>
    <xf numFmtId="167" fontId="27" fillId="0" borderId="0" xfId="0" applyNumberFormat="1" applyFont="1"/>
    <xf numFmtId="0" fontId="4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169" fontId="19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Protection="1">
      <protection locked="0"/>
    </xf>
    <xf numFmtId="0" fontId="2" fillId="0" borderId="0" xfId="0" applyFont="1" applyAlignment="1">
      <alignment horizontal="center"/>
    </xf>
    <xf numFmtId="0" fontId="19" fillId="0" borderId="2" xfId="0" applyFont="1" applyBorder="1" applyProtection="1">
      <protection locked="0"/>
    </xf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" fontId="4" fillId="0" borderId="0" xfId="0" applyNumberFormat="1" applyFont="1" applyBorder="1" applyProtection="1"/>
    <xf numFmtId="3" fontId="12" fillId="0" borderId="0" xfId="0" applyNumberFormat="1" applyFont="1" applyBorder="1" applyProtection="1"/>
    <xf numFmtId="0" fontId="12" fillId="0" borderId="6" xfId="0" applyFont="1" applyBorder="1"/>
    <xf numFmtId="0" fontId="22" fillId="0" borderId="0" xfId="0" applyFont="1" applyBorder="1" applyAlignment="1" applyProtection="1"/>
    <xf numFmtId="0" fontId="0" fillId="0" borderId="0" xfId="0" applyBorder="1" applyAlignment="1" applyProtection="1"/>
    <xf numFmtId="0" fontId="28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0" fillId="0" borderId="0" xfId="0" applyNumberFormat="1"/>
    <xf numFmtId="167" fontId="3" fillId="0" borderId="0" xfId="0" applyNumberFormat="1" applyFont="1" applyBorder="1"/>
    <xf numFmtId="167" fontId="30" fillId="0" borderId="0" xfId="0" applyNumberFormat="1" applyFont="1"/>
    <xf numFmtId="168" fontId="24" fillId="0" borderId="1" xfId="1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28" fillId="0" borderId="2" xfId="0" applyFont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0" fontId="28" fillId="0" borderId="2" xfId="0" applyFont="1" applyBorder="1" applyAlignment="1" applyProtection="1"/>
    <xf numFmtId="0" fontId="28" fillId="0" borderId="3" xfId="0" applyFont="1" applyBorder="1" applyAlignment="1" applyProtection="1"/>
    <xf numFmtId="0" fontId="28" fillId="0" borderId="4" xfId="0" applyFont="1" applyBorder="1" applyAlignment="1" applyProtection="1"/>
    <xf numFmtId="0" fontId="4" fillId="0" borderId="0" xfId="0" applyFont="1" applyAlignment="1">
      <alignment horizontal="center"/>
    </xf>
    <xf numFmtId="166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28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8" fillId="0" borderId="3" xfId="0" applyFont="1" applyBorder="1" applyAlignment="1" applyProtection="1">
      <protection locked="0"/>
    </xf>
    <xf numFmtId="0" fontId="28" fillId="0" borderId="4" xfId="0" applyFont="1" applyBorder="1" applyAlignment="1" applyProtection="1">
      <protection locked="0"/>
    </xf>
    <xf numFmtId="0" fontId="29" fillId="0" borderId="2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protection locked="0"/>
    </xf>
    <xf numFmtId="0" fontId="28" fillId="0" borderId="2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2" fillId="0" borderId="2" xfId="0" applyFont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5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CCEA-75DE-4032-851D-F5422B75C18E}">
  <sheetPr>
    <pageSetUpPr fitToPage="1"/>
  </sheetPr>
  <dimension ref="B2:I30"/>
  <sheetViews>
    <sheetView tabSelected="1" workbookViewId="0">
      <selection activeCell="I4" sqref="I4"/>
    </sheetView>
  </sheetViews>
  <sheetFormatPr defaultRowHeight="15" x14ac:dyDescent="0.35"/>
  <cols>
    <col min="1" max="1" width="5.4375" customWidth="1"/>
    <col min="2" max="2" width="20.8125" customWidth="1"/>
    <col min="3" max="3" width="11.3125" customWidth="1"/>
    <col min="4" max="4" width="13.625" customWidth="1"/>
    <col min="5" max="5" width="11.9375" customWidth="1"/>
    <col min="6" max="6" width="11.5" customWidth="1"/>
    <col min="7" max="7" width="12" customWidth="1"/>
  </cols>
  <sheetData>
    <row r="2" spans="2:9" ht="17.600000000000001" x14ac:dyDescent="0.4">
      <c r="B2" s="133" t="s">
        <v>92</v>
      </c>
      <c r="C2" s="133"/>
      <c r="D2" s="133"/>
      <c r="E2" s="133"/>
      <c r="F2" s="133"/>
      <c r="G2" s="133"/>
      <c r="H2" s="134"/>
      <c r="I2" s="134"/>
    </row>
    <row r="3" spans="2:9" ht="17.600000000000001" x14ac:dyDescent="0.4">
      <c r="B3" s="52"/>
      <c r="C3" s="52"/>
      <c r="D3" s="52"/>
      <c r="E3" s="52"/>
      <c r="F3" s="52"/>
      <c r="G3" s="52"/>
      <c r="H3" s="54"/>
      <c r="I3" s="54"/>
    </row>
    <row r="4" spans="2:9" ht="17.600000000000001" x14ac:dyDescent="0.4">
      <c r="B4" s="52"/>
      <c r="C4" s="53" t="s">
        <v>44</v>
      </c>
      <c r="D4" s="87" t="s">
        <v>49</v>
      </c>
      <c r="E4" s="87" t="s">
        <v>73</v>
      </c>
      <c r="F4" s="87" t="s">
        <v>74</v>
      </c>
      <c r="G4" s="28"/>
      <c r="H4" s="60"/>
      <c r="I4" s="54"/>
    </row>
    <row r="5" spans="2:9" ht="15.45" x14ac:dyDescent="0.4">
      <c r="B5" s="93" t="s">
        <v>45</v>
      </c>
      <c r="C5" s="61">
        <v>100</v>
      </c>
      <c r="D5" s="61">
        <v>60</v>
      </c>
      <c r="E5" s="76">
        <f>100-D5</f>
        <v>40</v>
      </c>
      <c r="F5" s="62">
        <f>E5*C5*0.01</f>
        <v>40</v>
      </c>
      <c r="G5" s="53"/>
      <c r="H5" s="60"/>
      <c r="I5" s="54"/>
    </row>
    <row r="6" spans="2:9" ht="17.600000000000001" x14ac:dyDescent="0.4">
      <c r="B6" s="52"/>
      <c r="C6" s="52"/>
      <c r="D6" s="52"/>
      <c r="E6" s="52"/>
      <c r="F6" s="52"/>
      <c r="G6" s="52"/>
      <c r="H6" s="54"/>
      <c r="I6" s="54"/>
    </row>
    <row r="7" spans="2:9" ht="15.45" x14ac:dyDescent="0.4">
      <c r="B7" s="62" t="s">
        <v>97</v>
      </c>
      <c r="C7" s="54"/>
      <c r="D7" s="54"/>
      <c r="E7" s="54"/>
      <c r="F7" s="75" t="s">
        <v>46</v>
      </c>
      <c r="G7" s="54" t="s">
        <v>62</v>
      </c>
      <c r="H7" s="54" t="s">
        <v>64</v>
      </c>
      <c r="I7" s="54"/>
    </row>
    <row r="8" spans="2:9" ht="15.45" x14ac:dyDescent="0.4">
      <c r="C8" s="54" t="s">
        <v>41</v>
      </c>
      <c r="D8" s="54" t="s">
        <v>42</v>
      </c>
      <c r="E8" s="54" t="s">
        <v>46</v>
      </c>
      <c r="F8" s="75" t="s">
        <v>61</v>
      </c>
      <c r="G8" s="54" t="s">
        <v>63</v>
      </c>
      <c r="H8" s="54" t="s">
        <v>65</v>
      </c>
      <c r="I8" s="54"/>
    </row>
    <row r="9" spans="2:9" ht="15.45" x14ac:dyDescent="0.4">
      <c r="B9" s="62" t="s">
        <v>43</v>
      </c>
      <c r="C9" s="54" t="s">
        <v>67</v>
      </c>
      <c r="D9" s="54" t="s">
        <v>40</v>
      </c>
      <c r="E9" s="54" t="s">
        <v>66</v>
      </c>
      <c r="F9" s="75" t="s">
        <v>141</v>
      </c>
      <c r="G9" s="67">
        <f>'1. Lease Yearling Bull '!F7</f>
        <v>15</v>
      </c>
      <c r="H9" s="68">
        <f>'1. Lease Yearling Bull '!G5</f>
        <v>3</v>
      </c>
    </row>
    <row r="10" spans="2:9" ht="17.600000000000001" x14ac:dyDescent="0.4">
      <c r="C10" s="63">
        <v>1375</v>
      </c>
      <c r="D10" s="22">
        <f>E10-C10</f>
        <v>1356.2670838155864</v>
      </c>
      <c r="E10" s="70">
        <f>'1. Lease Yearling Bull '!E32</f>
        <v>2731.2670838155864</v>
      </c>
      <c r="F10" s="131">
        <f>'1. Lease Yearling Bull '!H32</f>
        <v>81.938012514467587</v>
      </c>
    </row>
    <row r="11" spans="2:9" ht="15.45" x14ac:dyDescent="0.4">
      <c r="C11" s="64"/>
    </row>
    <row r="12" spans="2:9" ht="15.45" x14ac:dyDescent="0.4">
      <c r="B12" s="94" t="s">
        <v>98</v>
      </c>
      <c r="C12" s="85">
        <v>0</v>
      </c>
    </row>
    <row r="13" spans="2:9" ht="15.45" x14ac:dyDescent="0.4">
      <c r="B13" s="23"/>
      <c r="C13" s="85"/>
    </row>
    <row r="14" spans="2:9" ht="15.45" x14ac:dyDescent="0.4">
      <c r="C14" s="80"/>
      <c r="D14" s="80"/>
      <c r="E14" s="80"/>
      <c r="F14" s="80"/>
      <c r="G14" s="75" t="s">
        <v>46</v>
      </c>
      <c r="H14" s="80"/>
      <c r="I14" s="80"/>
    </row>
    <row r="15" spans="2:9" ht="15.45" x14ac:dyDescent="0.4">
      <c r="B15" s="62" t="s">
        <v>152</v>
      </c>
      <c r="C15" s="80" t="s">
        <v>39</v>
      </c>
      <c r="D15" s="80" t="s">
        <v>41</v>
      </c>
      <c r="E15" s="80" t="s">
        <v>41</v>
      </c>
      <c r="F15" s="80" t="s">
        <v>46</v>
      </c>
      <c r="G15" s="75" t="s">
        <v>61</v>
      </c>
      <c r="H15" s="80" t="s">
        <v>62</v>
      </c>
      <c r="I15" s="80" t="s">
        <v>64</v>
      </c>
    </row>
    <row r="16" spans="2:9" ht="15.45" x14ac:dyDescent="0.4">
      <c r="C16" s="80" t="s">
        <v>40</v>
      </c>
      <c r="D16" s="80" t="s">
        <v>78</v>
      </c>
      <c r="E16" s="80" t="s">
        <v>2</v>
      </c>
      <c r="F16" s="80" t="s">
        <v>66</v>
      </c>
      <c r="G16" s="117" t="s">
        <v>141</v>
      </c>
      <c r="H16" s="80" t="s">
        <v>63</v>
      </c>
      <c r="I16" s="80" t="s">
        <v>65</v>
      </c>
    </row>
    <row r="17" spans="2:9" ht="17.600000000000001" x14ac:dyDescent="0.4">
      <c r="B17" t="s">
        <v>47</v>
      </c>
      <c r="C17" s="26">
        <v>3000</v>
      </c>
      <c r="D17" s="70">
        <f>'2. Owned Bull 2 Years'!E22</f>
        <v>963.75</v>
      </c>
      <c r="E17" s="70">
        <f>'2. Owned Bull 2 Years'!E16</f>
        <v>4531.9444444444443</v>
      </c>
      <c r="F17" s="70">
        <f>'2. Owned Bull 2 Years'!E24</f>
        <v>5495.6944444444443</v>
      </c>
      <c r="G17" s="131">
        <f>'2. Owned Bull 2 Years'!H36</f>
        <v>109.91388888888889</v>
      </c>
      <c r="H17" s="43">
        <f>'2. Owned Bull 2 Years'!E7</f>
        <v>20</v>
      </c>
      <c r="I17" s="43">
        <f>'2. Owned Bull 2 Years'!F5</f>
        <v>2</v>
      </c>
    </row>
    <row r="18" spans="2:9" ht="15.45" x14ac:dyDescent="0.4">
      <c r="C18" s="82"/>
      <c r="D18" s="70"/>
      <c r="E18" s="70"/>
      <c r="F18" s="70"/>
      <c r="G18" s="41"/>
      <c r="H18" s="81"/>
      <c r="I18" s="81"/>
    </row>
    <row r="19" spans="2:9" ht="15.45" x14ac:dyDescent="0.4">
      <c r="B19" s="94" t="s">
        <v>98</v>
      </c>
      <c r="C19" s="84">
        <f>'2. Owned Bull 2 Years'!F38</f>
        <v>6000</v>
      </c>
      <c r="E19" s="70"/>
      <c r="F19" s="70"/>
      <c r="G19" s="41"/>
      <c r="H19" s="81"/>
      <c r="I19" s="81"/>
    </row>
    <row r="21" spans="2:9" x14ac:dyDescent="0.35">
      <c r="B21" s="65" t="s">
        <v>48</v>
      </c>
    </row>
    <row r="23" spans="2:9" ht="15.45" x14ac:dyDescent="0.4">
      <c r="C23" s="80"/>
      <c r="D23" s="80"/>
      <c r="E23" s="80"/>
      <c r="F23" s="80"/>
      <c r="G23" s="75" t="s">
        <v>46</v>
      </c>
      <c r="H23" s="80"/>
      <c r="I23" s="80"/>
    </row>
    <row r="24" spans="2:9" ht="15.45" x14ac:dyDescent="0.4">
      <c r="B24" s="62" t="s">
        <v>100</v>
      </c>
      <c r="C24" s="80" t="s">
        <v>39</v>
      </c>
      <c r="D24" s="80" t="s">
        <v>41</v>
      </c>
      <c r="E24" s="80" t="s">
        <v>41</v>
      </c>
      <c r="F24" s="80" t="s">
        <v>46</v>
      </c>
      <c r="G24" s="75" t="s">
        <v>61</v>
      </c>
      <c r="H24" s="80" t="s">
        <v>62</v>
      </c>
      <c r="I24" s="80" t="s">
        <v>64</v>
      </c>
    </row>
    <row r="25" spans="2:9" ht="15.45" x14ac:dyDescent="0.4">
      <c r="C25" s="80" t="s">
        <v>40</v>
      </c>
      <c r="D25" s="80" t="s">
        <v>78</v>
      </c>
      <c r="E25" s="80" t="s">
        <v>2</v>
      </c>
      <c r="F25" s="80" t="s">
        <v>66</v>
      </c>
      <c r="G25" s="117" t="s">
        <v>141</v>
      </c>
      <c r="H25" s="80" t="s">
        <v>63</v>
      </c>
      <c r="I25" s="80" t="s">
        <v>65</v>
      </c>
    </row>
    <row r="26" spans="2:9" ht="17.600000000000001" x14ac:dyDescent="0.4">
      <c r="B26" t="s">
        <v>47</v>
      </c>
      <c r="C26" s="26">
        <v>3000</v>
      </c>
      <c r="D26" s="70">
        <f>'3. Owned Bull 1 Breeding Season'!E22</f>
        <v>1985.6875</v>
      </c>
      <c r="E26" s="70">
        <f>'3. Owned Bull 1 Breeding Season'!E16</f>
        <v>1359.7479865933642</v>
      </c>
      <c r="F26" s="70">
        <f>'3. Owned Bull 1 Breeding Season'!E24</f>
        <v>3345.4354865933642</v>
      </c>
      <c r="G26" s="131">
        <f>'3. Owned Bull 1 Breeding Season'!H36</f>
        <v>100.36306459780093</v>
      </c>
      <c r="H26" s="43">
        <f>'3. Owned Bull 1 Breeding Season'!F7</f>
        <v>15</v>
      </c>
      <c r="I26" s="43">
        <f>'3. Owned Bull 1 Breeding Season'!G5</f>
        <v>3</v>
      </c>
    </row>
    <row r="27" spans="2:9" ht="15.45" x14ac:dyDescent="0.4">
      <c r="C27" s="82"/>
      <c r="D27" s="70"/>
      <c r="E27" s="70"/>
      <c r="F27" s="70"/>
      <c r="G27" s="41"/>
      <c r="H27" s="81"/>
      <c r="I27" s="81"/>
    </row>
    <row r="28" spans="2:9" ht="15.45" x14ac:dyDescent="0.4">
      <c r="B28" s="94" t="s">
        <v>98</v>
      </c>
      <c r="C28" s="83">
        <f>'3. Owned Bull 1 Breeding Season'!F38</f>
        <v>9000</v>
      </c>
      <c r="D28" s="70"/>
      <c r="E28" s="70"/>
      <c r="F28" s="70"/>
      <c r="G28" s="41"/>
      <c r="H28" s="81"/>
      <c r="I28" s="81"/>
    </row>
    <row r="30" spans="2:9" x14ac:dyDescent="0.35">
      <c r="B30" s="65" t="s">
        <v>96</v>
      </c>
    </row>
  </sheetData>
  <sheetProtection sheet="1" objects="1" scenarios="1"/>
  <mergeCells count="1">
    <mergeCell ref="B2:I2"/>
  </mergeCells>
  <pageMargins left="0.95" right="0.2" top="0.75" bottom="0.75" header="0.3" footer="0.3"/>
  <pageSetup orientation="landscape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BDD1-5347-44CF-9DE3-30AFE988398C}">
  <sheetPr>
    <pageSetUpPr fitToPage="1"/>
  </sheetPr>
  <dimension ref="A1:N50"/>
  <sheetViews>
    <sheetView topLeftCell="A13" workbookViewId="0">
      <selection activeCell="C21" sqref="C21"/>
    </sheetView>
  </sheetViews>
  <sheetFormatPr defaultRowHeight="15" x14ac:dyDescent="0.35"/>
  <cols>
    <col min="1" max="1" width="4.125" customWidth="1"/>
    <col min="2" max="2" width="26.0625" customWidth="1"/>
    <col min="3" max="3" width="10.5625" customWidth="1"/>
    <col min="4" max="4" width="10.4375" customWidth="1"/>
    <col min="5" max="5" width="11.125" customWidth="1"/>
    <col min="6" max="6" width="12.3125" customWidth="1"/>
    <col min="7" max="7" width="13.75" customWidth="1"/>
    <col min="8" max="8" width="11" customWidth="1"/>
    <col min="9" max="9" width="10.125" customWidth="1"/>
  </cols>
  <sheetData>
    <row r="1" spans="2:11" ht="15.45" x14ac:dyDescent="0.4">
      <c r="B1" s="143" t="s">
        <v>93</v>
      </c>
      <c r="C1" s="143"/>
      <c r="D1" s="143"/>
      <c r="E1" s="143"/>
      <c r="F1" s="143"/>
      <c r="G1" s="143"/>
      <c r="H1" s="53"/>
      <c r="I1" s="53"/>
    </row>
    <row r="2" spans="2:11" ht="17.600000000000001" x14ac:dyDescent="0.4">
      <c r="B2" s="52"/>
      <c r="C2" s="52"/>
      <c r="D2" s="52"/>
      <c r="E2" s="52"/>
      <c r="H2" s="53"/>
      <c r="I2" s="53"/>
    </row>
    <row r="3" spans="2:11" ht="17.600000000000001" x14ac:dyDescent="0.4">
      <c r="B3" s="3" t="s">
        <v>52</v>
      </c>
      <c r="C3" s="52"/>
      <c r="D3" s="52"/>
      <c r="E3" s="52"/>
      <c r="F3" s="52"/>
      <c r="G3" s="75" t="s">
        <v>80</v>
      </c>
      <c r="H3" s="53"/>
      <c r="I3" s="53"/>
    </row>
    <row r="4" spans="2:11" ht="15.45" x14ac:dyDescent="0.4">
      <c r="B4" s="87" t="s">
        <v>86</v>
      </c>
      <c r="C4" s="66">
        <f>'Key Bull Data &amp; Results'!C5</f>
        <v>100</v>
      </c>
      <c r="D4" s="90" t="s">
        <v>87</v>
      </c>
      <c r="E4" s="92">
        <f>'Key Bull Data &amp; Results'!D5*0.01</f>
        <v>0.6</v>
      </c>
      <c r="G4" s="53" t="s">
        <v>0</v>
      </c>
      <c r="I4" s="6"/>
      <c r="K4" s="7" t="s">
        <v>1</v>
      </c>
    </row>
    <row r="5" spans="2:11" ht="15.45" x14ac:dyDescent="0.4">
      <c r="B5" s="73" t="s">
        <v>81</v>
      </c>
      <c r="C5" s="77"/>
      <c r="D5" s="62">
        <f>'Key Bull Data &amp; Results'!F5</f>
        <v>40</v>
      </c>
      <c r="E5" s="62" t="s">
        <v>32</v>
      </c>
      <c r="G5" s="5">
        <v>3</v>
      </c>
      <c r="I5" s="6"/>
      <c r="J5" s="7"/>
    </row>
    <row r="6" spans="2:11" ht="15.45" x14ac:dyDescent="0.4">
      <c r="B6" s="73"/>
      <c r="C6" s="77"/>
      <c r="D6" s="62" t="s">
        <v>91</v>
      </c>
      <c r="G6" s="91" t="s">
        <v>85</v>
      </c>
      <c r="I6" s="6"/>
      <c r="J6" s="7"/>
    </row>
    <row r="7" spans="2:11" ht="15.45" x14ac:dyDescent="0.4">
      <c r="B7" s="87"/>
      <c r="C7" s="66"/>
      <c r="D7" s="143" t="s">
        <v>83</v>
      </c>
      <c r="E7" s="134"/>
      <c r="F7" s="4">
        <v>15</v>
      </c>
      <c r="G7" s="68">
        <f>D5/F7</f>
        <v>2.6666666666666665</v>
      </c>
      <c r="I7" s="6"/>
      <c r="J7" s="7"/>
    </row>
    <row r="8" spans="2:11" ht="15.45" x14ac:dyDescent="0.4">
      <c r="B8" s="87"/>
      <c r="C8" s="66"/>
      <c r="D8" s="87"/>
      <c r="E8" s="86"/>
      <c r="F8" s="88"/>
      <c r="G8" s="89"/>
      <c r="I8" s="6"/>
      <c r="J8" s="7"/>
    </row>
    <row r="9" spans="2:11" ht="15.45" x14ac:dyDescent="0.4">
      <c r="B9" s="73" t="s">
        <v>69</v>
      </c>
      <c r="C9" s="74"/>
      <c r="D9" s="74"/>
      <c r="F9" s="9">
        <f>D5/F7</f>
        <v>2.6666666666666665</v>
      </c>
      <c r="G9" s="8"/>
      <c r="H9" s="8"/>
    </row>
    <row r="10" spans="2:11" ht="46.3" x14ac:dyDescent="0.4">
      <c r="B10" s="10" t="s">
        <v>2</v>
      </c>
      <c r="C10" s="11"/>
      <c r="D10" s="11"/>
      <c r="E10" s="12" t="s">
        <v>3</v>
      </c>
      <c r="F10" s="12" t="s">
        <v>140</v>
      </c>
      <c r="G10" s="12" t="s">
        <v>55</v>
      </c>
    </row>
    <row r="11" spans="2:11" ht="15.45" x14ac:dyDescent="0.4">
      <c r="B11" s="10"/>
      <c r="C11" s="11"/>
      <c r="D11" s="11"/>
      <c r="E11" s="12"/>
      <c r="F11" s="13"/>
      <c r="G11" s="12"/>
    </row>
    <row r="12" spans="2:11" ht="15.45" x14ac:dyDescent="0.4">
      <c r="B12" s="11" t="s">
        <v>131</v>
      </c>
      <c r="C12" s="47"/>
      <c r="D12" s="14"/>
      <c r="E12" s="71">
        <f>I49</f>
        <v>1054.1666666666667</v>
      </c>
      <c r="F12" s="18">
        <f t="shared" ref="F12:F19" si="0">IF(E12=0," ",$G$5*E12)</f>
        <v>3162.5</v>
      </c>
      <c r="G12" s="69">
        <f>IF(F12=" "," ",F12/$C$4)</f>
        <v>31.625</v>
      </c>
    </row>
    <row r="13" spans="2:11" ht="15.45" x14ac:dyDescent="0.4">
      <c r="B13" s="17" t="s">
        <v>4</v>
      </c>
      <c r="C13" s="11"/>
      <c r="D13" s="11"/>
      <c r="E13" s="14">
        <v>0</v>
      </c>
      <c r="F13" s="18" t="str">
        <f t="shared" si="0"/>
        <v xml:space="preserve"> </v>
      </c>
      <c r="G13" s="69" t="str">
        <f t="shared" ref="G13:G19" si="1">IF(F13=" "," ",F13/$C$4)</f>
        <v xml:space="preserve"> </v>
      </c>
    </row>
    <row r="14" spans="2:11" ht="15.45" x14ac:dyDescent="0.4">
      <c r="B14" s="11" t="s">
        <v>5</v>
      </c>
      <c r="C14" s="11"/>
      <c r="D14" s="11"/>
      <c r="E14" s="14">
        <v>0</v>
      </c>
      <c r="F14" s="18" t="str">
        <f t="shared" si="0"/>
        <v xml:space="preserve"> </v>
      </c>
      <c r="G14" s="69" t="str">
        <f t="shared" si="1"/>
        <v xml:space="preserve"> </v>
      </c>
      <c r="J14" t="s">
        <v>6</v>
      </c>
    </row>
    <row r="15" spans="2:11" ht="15.45" x14ac:dyDescent="0.4">
      <c r="B15" s="11"/>
      <c r="C15" s="11" t="s">
        <v>102</v>
      </c>
      <c r="D15" s="123" t="s">
        <v>103</v>
      </c>
      <c r="E15" s="14"/>
      <c r="F15" s="18"/>
      <c r="G15" s="69"/>
    </row>
    <row r="16" spans="2:11" ht="15.45" x14ac:dyDescent="0.4">
      <c r="B16" s="11" t="s">
        <v>104</v>
      </c>
      <c r="C16" s="122">
        <f>L48</f>
        <v>390.34722222222223</v>
      </c>
      <c r="D16" s="96">
        <v>0.5</v>
      </c>
      <c r="E16" s="71">
        <f>C16*D16</f>
        <v>195.17361111111111</v>
      </c>
      <c r="F16" s="18">
        <f t="shared" si="0"/>
        <v>585.52083333333337</v>
      </c>
      <c r="G16" s="69">
        <f>IF(F16=" "," ",F16/$C$4)</f>
        <v>5.8552083333333336</v>
      </c>
    </row>
    <row r="17" spans="2:14" ht="15.45" x14ac:dyDescent="0.4">
      <c r="B17" s="38" t="s">
        <v>148</v>
      </c>
      <c r="C17" s="132">
        <v>5</v>
      </c>
      <c r="D17" s="11" t="s">
        <v>21</v>
      </c>
      <c r="E17" s="14"/>
      <c r="F17" s="18" t="str">
        <f t="shared" si="0"/>
        <v xml:space="preserve"> </v>
      </c>
      <c r="G17" s="69" t="str">
        <f t="shared" si="1"/>
        <v xml:space="preserve"> </v>
      </c>
      <c r="J17" s="129">
        <f>C17*C16/365</f>
        <v>5.3472222222222223</v>
      </c>
      <c r="K17" t="s">
        <v>149</v>
      </c>
    </row>
    <row r="18" spans="2:14" ht="15.45" x14ac:dyDescent="0.4">
      <c r="B18" s="11" t="s">
        <v>147</v>
      </c>
      <c r="C18" s="11"/>
      <c r="D18" s="11"/>
      <c r="E18" s="18">
        <f>((E22)+(E12+E13+E14+E16)*0.5)*J17*0.01</f>
        <v>106.92680603780865</v>
      </c>
      <c r="F18" s="18">
        <f t="shared" si="0"/>
        <v>320.78041811342592</v>
      </c>
      <c r="G18" s="69">
        <f t="shared" si="1"/>
        <v>3.207804181134259</v>
      </c>
    </row>
    <row r="19" spans="2:14" ht="15.45" x14ac:dyDescent="0.4">
      <c r="B19" s="10" t="s">
        <v>8</v>
      </c>
      <c r="C19" s="11"/>
      <c r="D19" s="11"/>
      <c r="E19" s="19">
        <f>SUM(E12:E18)</f>
        <v>1356.2670838155864</v>
      </c>
      <c r="F19" s="19">
        <f t="shared" si="0"/>
        <v>4068.8012514467591</v>
      </c>
      <c r="G19" s="69">
        <f t="shared" si="1"/>
        <v>40.688012514467594</v>
      </c>
    </row>
    <row r="20" spans="2:14" ht="15.45" x14ac:dyDescent="0.4">
      <c r="B20" s="10"/>
      <c r="C20" s="11"/>
      <c r="D20" s="11"/>
      <c r="E20" s="19"/>
      <c r="F20" s="18"/>
      <c r="G20" s="20"/>
    </row>
    <row r="21" spans="2:14" x14ac:dyDescent="0.35">
      <c r="B21" s="94" t="s">
        <v>50</v>
      </c>
      <c r="C21" s="11"/>
      <c r="D21" s="11"/>
      <c r="E21" s="11"/>
      <c r="F21" s="18"/>
      <c r="G21" s="11"/>
    </row>
    <row r="22" spans="2:14" ht="15.45" x14ac:dyDescent="0.4">
      <c r="B22" s="11" t="s">
        <v>68</v>
      </c>
      <c r="C22" s="11"/>
      <c r="D22" s="11"/>
      <c r="E22" s="71">
        <f>'Key Bull Data &amp; Results'!C10</f>
        <v>1375</v>
      </c>
      <c r="F22" s="18">
        <f>IF(E22=0," ",$G$5*E22)</f>
        <v>4125</v>
      </c>
      <c r="G22" s="69">
        <f t="shared" ref="G22:G27" si="2">IF(F22=" "," ",F22/$C$4)</f>
        <v>41.25</v>
      </c>
    </row>
    <row r="23" spans="2:14" ht="15.45" x14ac:dyDescent="0.4">
      <c r="B23" s="11" t="s">
        <v>51</v>
      </c>
      <c r="C23" s="11"/>
      <c r="D23" s="11"/>
      <c r="E23" s="14">
        <v>0</v>
      </c>
      <c r="F23" s="18" t="str">
        <f>IF(E23=0," ",$G$5*E23)</f>
        <v xml:space="preserve"> </v>
      </c>
      <c r="G23" s="69" t="str">
        <f t="shared" si="2"/>
        <v xml:space="preserve"> </v>
      </c>
    </row>
    <row r="24" spans="2:14" ht="15.45" x14ac:dyDescent="0.4">
      <c r="B24" s="17" t="s">
        <v>4</v>
      </c>
      <c r="C24" s="11"/>
      <c r="D24" s="11"/>
      <c r="E24" s="14">
        <v>0</v>
      </c>
      <c r="F24" s="18" t="str">
        <f>IF(E24=0," ",$G$5*E24)</f>
        <v xml:space="preserve"> </v>
      </c>
      <c r="G24" s="69" t="str">
        <f t="shared" si="2"/>
        <v xml:space="preserve"> </v>
      </c>
      <c r="H24" s="11"/>
      <c r="J24" t="s">
        <v>11</v>
      </c>
    </row>
    <row r="25" spans="2:14" ht="15.45" x14ac:dyDescent="0.4">
      <c r="B25" s="10" t="s">
        <v>56</v>
      </c>
      <c r="C25" s="11"/>
      <c r="D25" s="11"/>
      <c r="E25" s="19">
        <f>SUM(E22:E24)</f>
        <v>1375</v>
      </c>
      <c r="F25" s="19">
        <f>SUM(F22:F24)</f>
        <v>4125</v>
      </c>
      <c r="G25" s="69">
        <f t="shared" si="2"/>
        <v>41.25</v>
      </c>
      <c r="J25" s="22">
        <f>E27</f>
        <v>2731.2670838155864</v>
      </c>
      <c r="L25" s="22"/>
    </row>
    <row r="26" spans="2:14" ht="15.45" x14ac:dyDescent="0.4">
      <c r="B26" s="10"/>
      <c r="C26" s="11"/>
      <c r="D26" s="11"/>
      <c r="E26" s="18"/>
      <c r="F26" s="15"/>
      <c r="G26" s="16"/>
      <c r="J26" s="22">
        <f>E27-E18-E22</f>
        <v>1249.3402777777778</v>
      </c>
      <c r="K26" t="s">
        <v>57</v>
      </c>
    </row>
    <row r="27" spans="2:14" ht="17.600000000000001" x14ac:dyDescent="0.4">
      <c r="B27" s="23" t="s">
        <v>60</v>
      </c>
      <c r="C27" s="11"/>
      <c r="D27" s="11"/>
      <c r="E27" s="19">
        <f>E19+E25</f>
        <v>2731.2670838155864</v>
      </c>
      <c r="F27" s="19">
        <f>F19+F25</f>
        <v>8193.8012514467591</v>
      </c>
      <c r="G27" s="130">
        <f t="shared" si="2"/>
        <v>81.938012514467587</v>
      </c>
      <c r="J27" s="22">
        <f>E18</f>
        <v>106.92680603780865</v>
      </c>
      <c r="K27" t="s">
        <v>59</v>
      </c>
      <c r="M27" s="22"/>
      <c r="N27" s="22"/>
    </row>
    <row r="28" spans="2:14" ht="15.45" x14ac:dyDescent="0.4">
      <c r="B28" s="11" t="s">
        <v>54</v>
      </c>
      <c r="C28" s="11"/>
      <c r="D28" s="11"/>
      <c r="E28" s="33"/>
      <c r="F28" s="11"/>
      <c r="G28" s="11"/>
      <c r="J28" s="34"/>
      <c r="K28" s="18"/>
    </row>
    <row r="29" spans="2:14" ht="15.45" x14ac:dyDescent="0.4">
      <c r="B29" s="11"/>
      <c r="C29" s="10" t="s">
        <v>23</v>
      </c>
      <c r="D29" s="10"/>
      <c r="E29" s="35" t="s">
        <v>24</v>
      </c>
      <c r="F29" s="10"/>
      <c r="G29" s="10" t="s">
        <v>25</v>
      </c>
      <c r="H29" s="23" t="s">
        <v>26</v>
      </c>
      <c r="J29" s="36"/>
      <c r="K29" s="37"/>
    </row>
    <row r="30" spans="2:14" ht="15.45" x14ac:dyDescent="0.4">
      <c r="B30" s="23" t="s">
        <v>27</v>
      </c>
      <c r="C30" s="24">
        <f>G5</f>
        <v>3</v>
      </c>
      <c r="D30" s="38" t="s">
        <v>28</v>
      </c>
      <c r="E30" s="39">
        <f>E27-E18</f>
        <v>2624.3402777777778</v>
      </c>
      <c r="F30" s="11"/>
      <c r="G30" s="18">
        <f>$C$30*$E30</f>
        <v>7873.0208333333339</v>
      </c>
      <c r="H30" s="16">
        <f>G30/$C$4</f>
        <v>78.730208333333337</v>
      </c>
    </row>
    <row r="31" spans="2:14" ht="15.45" x14ac:dyDescent="0.4">
      <c r="B31" s="10"/>
      <c r="C31" s="24"/>
      <c r="D31" s="40" t="s">
        <v>13</v>
      </c>
      <c r="E31" s="39">
        <f>E23+E18</f>
        <v>106.92680603780865</v>
      </c>
      <c r="F31" s="11"/>
      <c r="G31" s="18">
        <f>$C$30*$E31</f>
        <v>320.78041811342592</v>
      </c>
      <c r="H31" s="16">
        <f>G31/$C$4</f>
        <v>3.207804181134259</v>
      </c>
    </row>
    <row r="32" spans="2:14" ht="15.45" x14ac:dyDescent="0.4">
      <c r="B32" s="10"/>
      <c r="C32" s="11"/>
      <c r="D32" s="10" t="s">
        <v>29</v>
      </c>
      <c r="E32" s="19">
        <f>E30+E31</f>
        <v>2731.2670838155864</v>
      </c>
      <c r="F32" s="11"/>
      <c r="G32" s="19">
        <f>$C$30*$E32</f>
        <v>8193.8012514467591</v>
      </c>
      <c r="H32" s="41">
        <f>G32/C4</f>
        <v>81.938012514467587</v>
      </c>
      <c r="K32" s="22"/>
    </row>
    <row r="33" spans="1:13" ht="15.45" x14ac:dyDescent="0.4">
      <c r="B33" s="10"/>
      <c r="C33" s="11"/>
      <c r="D33" s="10"/>
      <c r="E33" s="19"/>
      <c r="F33" s="11"/>
      <c r="G33" s="19"/>
      <c r="H33" s="41"/>
      <c r="K33" s="22"/>
    </row>
    <row r="34" spans="1:13" ht="15.45" x14ac:dyDescent="0.4">
      <c r="B34" s="10" t="s">
        <v>30</v>
      </c>
      <c r="C34" s="42">
        <f>C4</f>
        <v>100</v>
      </c>
      <c r="D34" s="40"/>
      <c r="E34" s="11"/>
      <c r="F34" s="10" t="s">
        <v>58</v>
      </c>
      <c r="G34" s="16"/>
    </row>
    <row r="35" spans="1:13" ht="15.45" x14ac:dyDescent="0.4">
      <c r="B35" s="23" t="s">
        <v>98</v>
      </c>
      <c r="C35" s="43">
        <f>C30</f>
        <v>3</v>
      </c>
      <c r="D35" s="23" t="s">
        <v>32</v>
      </c>
      <c r="E35" s="10" t="s">
        <v>29</v>
      </c>
      <c r="F35" s="44">
        <v>0</v>
      </c>
      <c r="G35" s="45" t="s">
        <v>99</v>
      </c>
    </row>
    <row r="36" spans="1:13" ht="15.45" x14ac:dyDescent="0.4">
      <c r="B36" s="11"/>
      <c r="C36" s="23"/>
      <c r="E36" s="11"/>
      <c r="F36" s="44"/>
      <c r="G36" s="45"/>
    </row>
    <row r="37" spans="1:13" x14ac:dyDescent="0.35">
      <c r="B37" s="140" t="s">
        <v>36</v>
      </c>
      <c r="C37" s="141"/>
      <c r="D37" s="141"/>
      <c r="E37" s="141"/>
      <c r="F37" s="141"/>
      <c r="G37" s="141"/>
      <c r="H37" s="142"/>
    </row>
    <row r="38" spans="1:13" x14ac:dyDescent="0.35">
      <c r="B38" s="126"/>
      <c r="C38" s="126"/>
      <c r="D38" s="126"/>
      <c r="E38" s="126"/>
      <c r="F38" s="126"/>
      <c r="G38" s="126"/>
      <c r="H38" s="126"/>
    </row>
    <row r="39" spans="1:13" ht="15.45" x14ac:dyDescent="0.4">
      <c r="A39" s="119"/>
      <c r="B39" s="97" t="s">
        <v>105</v>
      </c>
      <c r="E39" t="s">
        <v>106</v>
      </c>
      <c r="F39" s="98"/>
      <c r="H39" s="121">
        <f>G5</f>
        <v>3</v>
      </c>
    </row>
    <row r="40" spans="1:13" ht="15.45" x14ac:dyDescent="0.4">
      <c r="A40" s="120"/>
      <c r="B40" s="135" t="s">
        <v>128</v>
      </c>
      <c r="C40" s="136"/>
      <c r="D40" s="98"/>
      <c r="E40" s="98" t="s">
        <v>108</v>
      </c>
      <c r="F40" s="98"/>
      <c r="G40" s="99" t="s">
        <v>109</v>
      </c>
      <c r="H40" s="98"/>
      <c r="I40" s="100"/>
      <c r="J40" s="98"/>
    </row>
    <row r="41" spans="1:13" ht="15.45" x14ac:dyDescent="0.4">
      <c r="A41" s="115"/>
      <c r="B41" s="128" t="s">
        <v>110</v>
      </c>
      <c r="C41" s="98" t="s">
        <v>111</v>
      </c>
      <c r="D41" s="98"/>
      <c r="E41" s="98" t="s">
        <v>112</v>
      </c>
      <c r="F41" s="98"/>
      <c r="G41" s="127" t="s">
        <v>113</v>
      </c>
      <c r="H41" s="98" t="s">
        <v>32</v>
      </c>
      <c r="I41" s="100" t="s">
        <v>25</v>
      </c>
      <c r="J41" s="100"/>
      <c r="K41" t="s">
        <v>38</v>
      </c>
    </row>
    <row r="42" spans="1:13" ht="15.45" x14ac:dyDescent="0.4">
      <c r="A42" s="115"/>
      <c r="B42" s="101" t="s">
        <v>114</v>
      </c>
      <c r="C42" s="114">
        <v>1</v>
      </c>
      <c r="D42" s="103"/>
      <c r="E42" s="31">
        <v>100</v>
      </c>
      <c r="F42" s="104"/>
      <c r="G42" s="22">
        <f>C42*E42</f>
        <v>100</v>
      </c>
      <c r="H42" s="105">
        <v>11</v>
      </c>
      <c r="I42" s="18">
        <f>G42*H42</f>
        <v>1100</v>
      </c>
      <c r="J42" s="22"/>
      <c r="K42">
        <f>C42*H42</f>
        <v>11</v>
      </c>
    </row>
    <row r="43" spans="1:13" ht="15.45" x14ac:dyDescent="0.4">
      <c r="A43" s="115"/>
      <c r="B43" s="101" t="s">
        <v>116</v>
      </c>
      <c r="C43" s="102">
        <v>2</v>
      </c>
      <c r="D43" s="103"/>
      <c r="E43" s="31">
        <v>75</v>
      </c>
      <c r="F43" s="104"/>
      <c r="G43" s="22">
        <f t="shared" ref="G43:G46" si="3">C43*E43</f>
        <v>150</v>
      </c>
      <c r="H43" s="105">
        <v>11</v>
      </c>
      <c r="I43" s="18">
        <f t="shared" ref="I43:I46" si="4">G43*H43</f>
        <v>1650</v>
      </c>
      <c r="J43" s="22"/>
      <c r="K43">
        <f t="shared" ref="K43:K46" si="5">C43*H43</f>
        <v>22</v>
      </c>
    </row>
    <row r="44" spans="1:13" ht="15.45" x14ac:dyDescent="0.4">
      <c r="A44" s="115"/>
      <c r="B44" s="101" t="s">
        <v>129</v>
      </c>
      <c r="C44" s="114">
        <v>0.5</v>
      </c>
      <c r="D44" s="103"/>
      <c r="E44" s="31">
        <v>75</v>
      </c>
      <c r="F44" s="104"/>
      <c r="G44" s="22">
        <f t="shared" si="3"/>
        <v>37.5</v>
      </c>
      <c r="H44" s="105">
        <v>11</v>
      </c>
      <c r="I44" s="18">
        <f t="shared" si="4"/>
        <v>412.5</v>
      </c>
      <c r="J44" s="22"/>
      <c r="K44">
        <f t="shared" si="5"/>
        <v>5.5</v>
      </c>
    </row>
    <row r="45" spans="1:13" ht="15.45" x14ac:dyDescent="0.4">
      <c r="A45" s="115"/>
      <c r="B45" s="101" t="s">
        <v>119</v>
      </c>
      <c r="C45" s="102">
        <v>0</v>
      </c>
      <c r="D45" s="103"/>
      <c r="E45" s="31">
        <v>0</v>
      </c>
      <c r="F45" s="104"/>
      <c r="G45" s="22">
        <f t="shared" si="3"/>
        <v>0</v>
      </c>
      <c r="H45" s="105">
        <v>0</v>
      </c>
      <c r="I45" s="18">
        <f t="shared" si="4"/>
        <v>0</v>
      </c>
      <c r="J45" s="22"/>
      <c r="K45">
        <f t="shared" si="5"/>
        <v>0</v>
      </c>
    </row>
    <row r="46" spans="1:13" ht="15.45" x14ac:dyDescent="0.4">
      <c r="A46" s="115"/>
      <c r="B46" s="101" t="s">
        <v>119</v>
      </c>
      <c r="C46" s="102"/>
      <c r="D46" s="103"/>
      <c r="E46" s="31">
        <v>0</v>
      </c>
      <c r="F46" s="104"/>
      <c r="G46" s="22">
        <f t="shared" si="3"/>
        <v>0</v>
      </c>
      <c r="H46" s="105">
        <v>0</v>
      </c>
      <c r="I46" s="18">
        <f t="shared" si="4"/>
        <v>0</v>
      </c>
      <c r="J46" s="22"/>
      <c r="K46">
        <f t="shared" si="5"/>
        <v>0</v>
      </c>
      <c r="L46" t="s">
        <v>120</v>
      </c>
    </row>
    <row r="47" spans="1:13" ht="15.45" x14ac:dyDescent="0.4">
      <c r="A47" s="115"/>
      <c r="B47" s="97" t="s">
        <v>121</v>
      </c>
      <c r="C47" s="106"/>
      <c r="D47" s="106"/>
      <c r="E47" s="31"/>
      <c r="F47" s="107"/>
      <c r="G47" s="41" t="s">
        <v>134</v>
      </c>
      <c r="H47" s="108" t="s">
        <v>138</v>
      </c>
      <c r="I47" s="109">
        <f>SUM(I42:I46)</f>
        <v>3162.5</v>
      </c>
      <c r="J47" s="41"/>
      <c r="K47" s="62">
        <f>SUM(K42:K46)</f>
        <v>38.5</v>
      </c>
      <c r="L47" s="81">
        <f>K47*(365/12)</f>
        <v>1171.0416666666667</v>
      </c>
    </row>
    <row r="48" spans="1:13" ht="15.45" x14ac:dyDescent="0.4">
      <c r="A48" s="115"/>
      <c r="B48" s="106"/>
      <c r="C48" s="97" t="s">
        <v>139</v>
      </c>
      <c r="F48" s="97"/>
      <c r="G48" s="110">
        <f>H39</f>
        <v>3</v>
      </c>
      <c r="H48" s="111" t="s">
        <v>122</v>
      </c>
      <c r="I48" s="109" t="s">
        <v>123</v>
      </c>
      <c r="L48" s="32">
        <f>L47/H39</f>
        <v>390.34722222222223</v>
      </c>
      <c r="M48" t="s">
        <v>130</v>
      </c>
    </row>
    <row r="49" spans="1:10" ht="15.45" x14ac:dyDescent="0.4">
      <c r="A49" s="115"/>
      <c r="B49" s="112" t="s">
        <v>124</v>
      </c>
      <c r="C49" s="106"/>
      <c r="D49" s="106"/>
      <c r="H49" s="22">
        <f>IF(L47=0,0,I47/L47)</f>
        <v>2.7005870841487276</v>
      </c>
      <c r="I49" s="41">
        <f>I47/G48</f>
        <v>1054.1666666666667</v>
      </c>
    </row>
    <row r="50" spans="1:10" x14ac:dyDescent="0.35">
      <c r="A50" s="115"/>
      <c r="B50" s="137" t="s">
        <v>144</v>
      </c>
      <c r="C50" s="138"/>
      <c r="D50" s="138"/>
      <c r="E50" s="138"/>
      <c r="F50" s="138"/>
      <c r="G50" s="138"/>
      <c r="H50" s="138"/>
      <c r="I50" s="139"/>
      <c r="J50" s="113"/>
    </row>
  </sheetData>
  <sheetProtection sheet="1" objects="1" scenarios="1"/>
  <mergeCells count="5">
    <mergeCell ref="B40:C40"/>
    <mergeCell ref="B50:I50"/>
    <mergeCell ref="B37:H37"/>
    <mergeCell ref="B1:G1"/>
    <mergeCell ref="D7:E7"/>
  </mergeCells>
  <pageMargins left="0.95" right="0.7" top="0.75" bottom="0.75" header="0.3" footer="0.3"/>
  <pageSetup scale="69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5CC9-2157-4E3D-B126-B7299FA0BB55}">
  <sheetPr>
    <pageSetUpPr fitToPage="1"/>
  </sheetPr>
  <dimension ref="A1:N59"/>
  <sheetViews>
    <sheetView topLeftCell="A41" workbookViewId="0">
      <selection activeCell="F30" sqref="F30"/>
    </sheetView>
  </sheetViews>
  <sheetFormatPr defaultRowHeight="15" x14ac:dyDescent="0.35"/>
  <cols>
    <col min="1" max="1" width="3.25" customWidth="1"/>
    <col min="2" max="2" width="31.875" customWidth="1"/>
    <col min="3" max="3" width="9.125" customWidth="1"/>
    <col min="5" max="5" width="9.9375" customWidth="1"/>
    <col min="6" max="6" width="11.125" customWidth="1"/>
    <col min="8" max="8" width="9.875" customWidth="1"/>
    <col min="9" max="9" width="9.625" customWidth="1"/>
    <col min="10" max="10" width="11.0625" customWidth="1"/>
  </cols>
  <sheetData>
    <row r="1" spans="2:14" ht="17.600000000000001" x14ac:dyDescent="0.4">
      <c r="B1" s="133" t="s">
        <v>82</v>
      </c>
      <c r="C1" s="133"/>
      <c r="D1" s="133"/>
      <c r="E1" s="133"/>
      <c r="F1" s="133"/>
      <c r="G1" s="133"/>
      <c r="H1" s="134"/>
      <c r="I1" s="1"/>
    </row>
    <row r="2" spans="2:14" ht="17.600000000000001" x14ac:dyDescent="0.4">
      <c r="B2" s="2"/>
      <c r="C2" s="2"/>
      <c r="D2" s="2"/>
      <c r="E2" s="2"/>
      <c r="F2" s="2"/>
      <c r="G2" s="2"/>
      <c r="H2" s="1"/>
      <c r="I2" s="1"/>
    </row>
    <row r="3" spans="2:14" ht="17.600000000000001" x14ac:dyDescent="0.4">
      <c r="B3" s="151" t="s">
        <v>37</v>
      </c>
      <c r="C3" s="152"/>
      <c r="D3" s="2"/>
      <c r="E3" s="2"/>
      <c r="F3" s="62" t="s">
        <v>79</v>
      </c>
      <c r="H3" s="1"/>
      <c r="I3" s="1"/>
    </row>
    <row r="4" spans="2:14" ht="15.45" x14ac:dyDescent="0.4">
      <c r="B4" s="1" t="s">
        <v>86</v>
      </c>
      <c r="C4" s="66">
        <f>'Key Bull Data &amp; Results'!C5</f>
        <v>100</v>
      </c>
      <c r="D4" s="57" t="s">
        <v>87</v>
      </c>
      <c r="E4" s="92">
        <f>'Key Bull Data &amp; Results'!D5*0.01</f>
        <v>0.6</v>
      </c>
      <c r="F4" s="1" t="s">
        <v>84</v>
      </c>
      <c r="H4" s="57"/>
      <c r="I4" s="57"/>
      <c r="L4" s="7" t="s">
        <v>1</v>
      </c>
    </row>
    <row r="5" spans="2:14" ht="15.45" x14ac:dyDescent="0.4">
      <c r="B5" s="73" t="s">
        <v>81</v>
      </c>
      <c r="C5" s="8"/>
      <c r="D5" s="77">
        <f>'Key Bull Data &amp; Results'!F5</f>
        <v>40</v>
      </c>
      <c r="F5" s="5">
        <v>2</v>
      </c>
      <c r="J5" s="48"/>
    </row>
    <row r="6" spans="2:14" ht="15.45" x14ac:dyDescent="0.4">
      <c r="C6" s="62" t="s">
        <v>90</v>
      </c>
      <c r="F6" s="75" t="s">
        <v>85</v>
      </c>
      <c r="G6" s="8"/>
      <c r="J6" t="s">
        <v>70</v>
      </c>
      <c r="K6" s="49">
        <v>15</v>
      </c>
      <c r="L6" s="78" t="s">
        <v>72</v>
      </c>
    </row>
    <row r="7" spans="2:14" ht="15.45" x14ac:dyDescent="0.4">
      <c r="B7" s="62" t="s">
        <v>145</v>
      </c>
      <c r="E7" s="4">
        <v>20</v>
      </c>
      <c r="F7" s="9">
        <f>D5/E7</f>
        <v>2</v>
      </c>
      <c r="H7" s="8"/>
      <c r="J7" t="s">
        <v>71</v>
      </c>
      <c r="K7" s="55">
        <v>25</v>
      </c>
      <c r="L7">
        <f>((K6+K7)*0.5)</f>
        <v>20</v>
      </c>
      <c r="N7" s="49"/>
    </row>
    <row r="8" spans="2:14" ht="61.75" x14ac:dyDescent="0.4">
      <c r="B8" s="10" t="s">
        <v>2</v>
      </c>
      <c r="C8" s="11"/>
      <c r="D8" s="11"/>
      <c r="E8" s="12" t="s">
        <v>3</v>
      </c>
      <c r="F8" s="12" t="s">
        <v>53</v>
      </c>
      <c r="G8" s="12" t="s">
        <v>55</v>
      </c>
    </row>
    <row r="9" spans="2:14" ht="15.45" x14ac:dyDescent="0.4">
      <c r="B9" s="10"/>
      <c r="C9" s="11"/>
      <c r="D9" s="11"/>
      <c r="E9" s="12"/>
      <c r="F9" s="13"/>
      <c r="G9" s="12"/>
    </row>
    <row r="10" spans="2:14" x14ac:dyDescent="0.35">
      <c r="B10" s="11" t="s">
        <v>131</v>
      </c>
      <c r="C10" s="50"/>
      <c r="D10" s="51"/>
      <c r="E10" s="71">
        <f>I58</f>
        <v>3500</v>
      </c>
      <c r="F10" s="18">
        <f>E10*$F$5</f>
        <v>7000</v>
      </c>
      <c r="G10" s="16">
        <f>F10/$C$4</f>
        <v>70</v>
      </c>
    </row>
    <row r="11" spans="2:14" x14ac:dyDescent="0.35">
      <c r="B11" s="17" t="s">
        <v>4</v>
      </c>
      <c r="C11" s="11"/>
      <c r="D11" s="11"/>
      <c r="E11" s="14">
        <v>0</v>
      </c>
      <c r="F11" s="18">
        <f>E11*$F$5</f>
        <v>0</v>
      </c>
      <c r="G11" s="16">
        <f>F11/$C$4</f>
        <v>0</v>
      </c>
    </row>
    <row r="12" spans="2:14" x14ac:dyDescent="0.35">
      <c r="B12" s="11" t="s">
        <v>5</v>
      </c>
      <c r="C12" s="11"/>
      <c r="D12" s="11"/>
      <c r="E12" s="14">
        <v>75</v>
      </c>
      <c r="F12" s="18">
        <f>E12*$F$5</f>
        <v>150</v>
      </c>
      <c r="G12" s="16">
        <f>F12/$C$4</f>
        <v>1.5</v>
      </c>
      <c r="J12" t="s">
        <v>6</v>
      </c>
    </row>
    <row r="13" spans="2:14" x14ac:dyDescent="0.35">
      <c r="B13" s="11"/>
      <c r="C13" s="11" t="s">
        <v>102</v>
      </c>
      <c r="D13" s="11" t="s">
        <v>103</v>
      </c>
      <c r="E13" s="14"/>
      <c r="F13" s="18"/>
      <c r="G13" s="16"/>
    </row>
    <row r="14" spans="2:14" x14ac:dyDescent="0.35">
      <c r="B14" s="11" t="s">
        <v>104</v>
      </c>
      <c r="C14" s="122">
        <f>L57</f>
        <v>1216.6666666666667</v>
      </c>
      <c r="D14" s="96">
        <v>0.5</v>
      </c>
      <c r="E14" s="71">
        <f>C14*D14</f>
        <v>608.33333333333337</v>
      </c>
      <c r="F14" s="18">
        <f>E14*$F$5</f>
        <v>1216.6666666666667</v>
      </c>
      <c r="G14" s="16">
        <f>F14/$C$4</f>
        <v>12.166666666666668</v>
      </c>
    </row>
    <row r="15" spans="2:14" x14ac:dyDescent="0.35">
      <c r="B15" s="11" t="s">
        <v>7</v>
      </c>
      <c r="C15" s="11"/>
      <c r="D15" s="11"/>
      <c r="E15" s="18">
        <f>(E10+E11+E12+E14)*0.5*J20*0.01</f>
        <v>348.61111111111109</v>
      </c>
      <c r="F15" s="18">
        <f>E15*$F$5</f>
        <v>697.22222222222217</v>
      </c>
      <c r="G15" s="16">
        <f>F15/$C$4</f>
        <v>6.9722222222222214</v>
      </c>
    </row>
    <row r="16" spans="2:14" ht="15.45" x14ac:dyDescent="0.4">
      <c r="B16" s="10" t="s">
        <v>8</v>
      </c>
      <c r="C16" s="11"/>
      <c r="D16" s="11"/>
      <c r="E16" s="19">
        <f>SUM(E10:E15)</f>
        <v>4531.9444444444443</v>
      </c>
      <c r="F16" s="19">
        <f>E16*$F$5</f>
        <v>9063.8888888888887</v>
      </c>
      <c r="G16" s="20">
        <f>F16/$C$4</f>
        <v>90.638888888888886</v>
      </c>
    </row>
    <row r="17" spans="2:14" ht="15.45" x14ac:dyDescent="0.4">
      <c r="B17" s="10"/>
      <c r="C17" s="11"/>
      <c r="D17" s="11"/>
      <c r="E17" s="19"/>
      <c r="F17" s="11"/>
      <c r="G17" s="20"/>
    </row>
    <row r="18" spans="2:14" ht="15.45" x14ac:dyDescent="0.4">
      <c r="B18" s="10" t="s">
        <v>9</v>
      </c>
      <c r="C18" s="11"/>
      <c r="D18" s="11"/>
      <c r="E18" s="11"/>
      <c r="F18" s="11"/>
      <c r="G18" s="11"/>
    </row>
    <row r="19" spans="2:14" x14ac:dyDescent="0.35">
      <c r="B19" s="11" t="s">
        <v>10</v>
      </c>
      <c r="C19" s="11"/>
      <c r="D19" s="11"/>
      <c r="E19" s="18">
        <f>IF(G27=0,0,(G26-G29)/G27)</f>
        <v>825</v>
      </c>
      <c r="F19" s="18">
        <f>E19*$F$5</f>
        <v>1650</v>
      </c>
      <c r="G19" s="16">
        <f>F19/$C$4</f>
        <v>16.5</v>
      </c>
    </row>
    <row r="20" spans="2:14" x14ac:dyDescent="0.35">
      <c r="B20" s="11" t="s">
        <v>150</v>
      </c>
      <c r="C20" s="11"/>
      <c r="D20" s="11"/>
      <c r="E20" s="21">
        <f>F41*E31*0.01</f>
        <v>108.75</v>
      </c>
      <c r="F20" s="18">
        <f>E20*$F$5</f>
        <v>217.5</v>
      </c>
      <c r="G20" s="16">
        <f>F20/$C$4</f>
        <v>2.1749999999999998</v>
      </c>
      <c r="J20" s="129">
        <f>J31</f>
        <v>16.666666666666668</v>
      </c>
      <c r="K20" t="s">
        <v>149</v>
      </c>
    </row>
    <row r="21" spans="2:14" x14ac:dyDescent="0.35">
      <c r="B21" s="11" t="s">
        <v>151</v>
      </c>
      <c r="C21" s="11"/>
      <c r="D21" s="95">
        <v>1</v>
      </c>
      <c r="E21" s="18">
        <f>G26*D21*0.01</f>
        <v>30</v>
      </c>
      <c r="F21" s="18">
        <f>E21*$F$5</f>
        <v>60</v>
      </c>
      <c r="G21" s="16">
        <f>F21/$C$4</f>
        <v>0.6</v>
      </c>
    </row>
    <row r="22" spans="2:14" ht="15.45" x14ac:dyDescent="0.4">
      <c r="B22" s="10" t="s">
        <v>12</v>
      </c>
      <c r="C22" s="11"/>
      <c r="D22" s="11"/>
      <c r="E22" s="19">
        <f>SUM(E19:E21)</f>
        <v>963.75</v>
      </c>
      <c r="F22" s="19">
        <f>E22*$F$5</f>
        <v>1927.5</v>
      </c>
      <c r="G22" s="20">
        <f>F22/$C$4</f>
        <v>19.274999999999999</v>
      </c>
      <c r="J22" s="22"/>
      <c r="L22" s="22"/>
    </row>
    <row r="23" spans="2:14" ht="15.45" x14ac:dyDescent="0.4">
      <c r="B23" s="10"/>
      <c r="C23" s="11"/>
      <c r="D23" s="11"/>
      <c r="E23" s="18"/>
      <c r="F23" s="16" t="s">
        <v>76</v>
      </c>
      <c r="G23" s="16" t="s">
        <v>77</v>
      </c>
      <c r="J23" s="22"/>
    </row>
    <row r="24" spans="2:14" ht="15.45" x14ac:dyDescent="0.4">
      <c r="B24" s="23" t="s">
        <v>75</v>
      </c>
      <c r="C24" s="11"/>
      <c r="D24" s="11"/>
      <c r="E24" s="19">
        <f>E16+E22</f>
        <v>5495.6944444444443</v>
      </c>
      <c r="F24" s="79">
        <f>E7</f>
        <v>20</v>
      </c>
      <c r="G24" s="20">
        <f>E24/F24</f>
        <v>274.78472222222223</v>
      </c>
      <c r="J24" s="22"/>
      <c r="M24" s="22"/>
      <c r="N24" s="22"/>
    </row>
    <row r="25" spans="2:14" x14ac:dyDescent="0.35">
      <c r="B25" s="11"/>
      <c r="C25" s="11"/>
      <c r="D25" s="11"/>
      <c r="E25" s="11"/>
      <c r="F25" s="11"/>
      <c r="G25" s="11"/>
      <c r="J25" s="25"/>
    </row>
    <row r="26" spans="2:14" ht="15.45" x14ac:dyDescent="0.4">
      <c r="B26" s="10" t="s">
        <v>14</v>
      </c>
      <c r="C26" s="11"/>
      <c r="D26" s="11"/>
      <c r="E26" s="11"/>
      <c r="F26" s="11"/>
      <c r="G26" s="72">
        <f>'Key Bull Data &amp; Results'!C17</f>
        <v>3000</v>
      </c>
    </row>
    <row r="27" spans="2:14" x14ac:dyDescent="0.35">
      <c r="B27" s="11" t="s">
        <v>15</v>
      </c>
      <c r="C27" s="11"/>
      <c r="D27" s="11"/>
      <c r="E27" s="11"/>
      <c r="F27" s="11"/>
      <c r="G27" s="27">
        <v>2</v>
      </c>
      <c r="J27" s="144"/>
      <c r="K27" s="145"/>
      <c r="L27" s="145"/>
      <c r="M27" s="145"/>
      <c r="N27" s="145"/>
    </row>
    <row r="28" spans="2:14" x14ac:dyDescent="0.35">
      <c r="B28" s="11"/>
      <c r="C28" s="11"/>
      <c r="D28" s="11"/>
      <c r="E28" s="28" t="s">
        <v>16</v>
      </c>
      <c r="F28" s="28" t="s">
        <v>17</v>
      </c>
      <c r="G28" s="28" t="s">
        <v>18</v>
      </c>
      <c r="I28" s="29"/>
      <c r="J28" s="28"/>
      <c r="N28" s="11"/>
    </row>
    <row r="29" spans="2:14" ht="15.45" x14ac:dyDescent="0.4">
      <c r="B29" s="11" t="s">
        <v>19</v>
      </c>
      <c r="C29" s="11"/>
      <c r="D29" s="11"/>
      <c r="E29" s="30">
        <v>1500</v>
      </c>
      <c r="F29" s="31">
        <v>90</v>
      </c>
      <c r="G29" s="21">
        <f>E29*F29*0.01</f>
        <v>1350</v>
      </c>
      <c r="J29" s="20"/>
      <c r="K29" s="16"/>
    </row>
    <row r="30" spans="2:14" x14ac:dyDescent="0.35">
      <c r="B30" s="11"/>
      <c r="C30" s="11"/>
      <c r="D30" s="11"/>
      <c r="E30" s="11"/>
      <c r="F30" s="11"/>
      <c r="G30" s="11"/>
      <c r="J30" s="22"/>
      <c r="K30" s="16"/>
      <c r="M30" s="11"/>
      <c r="N30" s="32"/>
    </row>
    <row r="31" spans="2:14" x14ac:dyDescent="0.35">
      <c r="B31" s="11" t="s">
        <v>20</v>
      </c>
      <c r="C31" s="11"/>
      <c r="D31" s="11"/>
      <c r="E31" s="132">
        <v>5</v>
      </c>
      <c r="F31" s="11" t="s">
        <v>21</v>
      </c>
      <c r="G31" s="11"/>
      <c r="J31" s="129">
        <f>(E31*(C14/365))</f>
        <v>16.666666666666668</v>
      </c>
      <c r="K31" t="s">
        <v>149</v>
      </c>
    </row>
    <row r="32" spans="2:14" ht="15.45" x14ac:dyDescent="0.4">
      <c r="B32" s="10" t="s">
        <v>95</v>
      </c>
      <c r="C32" s="11"/>
      <c r="D32" s="11"/>
      <c r="E32" s="33"/>
      <c r="F32" s="11"/>
      <c r="G32" s="11"/>
      <c r="J32" s="34"/>
      <c r="K32" s="18"/>
    </row>
    <row r="33" spans="1:11" ht="15.45" x14ac:dyDescent="0.4">
      <c r="B33" s="11"/>
      <c r="C33" s="10" t="s">
        <v>23</v>
      </c>
      <c r="D33" s="10"/>
      <c r="E33" s="35" t="s">
        <v>24</v>
      </c>
      <c r="F33" s="10"/>
      <c r="G33" s="10" t="s">
        <v>25</v>
      </c>
      <c r="H33" s="23" t="s">
        <v>26</v>
      </c>
      <c r="J33" s="36"/>
      <c r="K33" s="37"/>
    </row>
    <row r="34" spans="1:11" ht="15.45" x14ac:dyDescent="0.4">
      <c r="B34" s="23" t="s">
        <v>27</v>
      </c>
      <c r="C34" s="24">
        <f>F5</f>
        <v>2</v>
      </c>
      <c r="D34" s="38" t="s">
        <v>28</v>
      </c>
      <c r="E34" s="39">
        <f>E24-E20-E15</f>
        <v>5038.333333333333</v>
      </c>
      <c r="F34" s="11"/>
      <c r="G34" s="18">
        <f>$C$34*$E34</f>
        <v>10076.666666666666</v>
      </c>
      <c r="H34" s="16">
        <f>G34/$C$4</f>
        <v>100.76666666666667</v>
      </c>
    </row>
    <row r="35" spans="1:11" ht="15.45" x14ac:dyDescent="0.4">
      <c r="B35" s="10"/>
      <c r="C35" s="24"/>
      <c r="D35" s="40" t="s">
        <v>13</v>
      </c>
      <c r="E35" s="39">
        <f>E20+E15</f>
        <v>457.36111111111109</v>
      </c>
      <c r="F35" s="11"/>
      <c r="G35" s="18">
        <f>$C$34*$E35</f>
        <v>914.72222222222217</v>
      </c>
      <c r="H35" s="16">
        <f>G35/$C$4</f>
        <v>9.1472222222222221</v>
      </c>
    </row>
    <row r="36" spans="1:11" ht="17.600000000000001" x14ac:dyDescent="0.4">
      <c r="B36" s="10"/>
      <c r="C36" s="11"/>
      <c r="D36" s="10" t="s">
        <v>29</v>
      </c>
      <c r="E36" s="19">
        <f>E34+E35</f>
        <v>5495.6944444444443</v>
      </c>
      <c r="F36" s="11"/>
      <c r="G36" s="19">
        <f>$C$34*$E36</f>
        <v>10991.388888888889</v>
      </c>
      <c r="H36" s="131">
        <f>G36/C4</f>
        <v>109.91388888888889</v>
      </c>
      <c r="K36" s="22"/>
    </row>
    <row r="37" spans="1:11" ht="15.45" x14ac:dyDescent="0.4">
      <c r="B37" s="10" t="s">
        <v>30</v>
      </c>
      <c r="C37" s="42">
        <f>C4</f>
        <v>100</v>
      </c>
      <c r="D37" s="40"/>
      <c r="E37" s="11"/>
      <c r="F37" s="10" t="s">
        <v>31</v>
      </c>
      <c r="G37" s="16">
        <f>G36/C37</f>
        <v>109.91388888888889</v>
      </c>
    </row>
    <row r="38" spans="1:11" ht="15.45" x14ac:dyDescent="0.4">
      <c r="B38" s="23" t="s">
        <v>98</v>
      </c>
      <c r="C38" s="43">
        <f>C34</f>
        <v>2</v>
      </c>
      <c r="D38" s="23" t="s">
        <v>32</v>
      </c>
      <c r="E38" s="10" t="s">
        <v>29</v>
      </c>
      <c r="F38" s="44">
        <f>G26*F5</f>
        <v>6000</v>
      </c>
      <c r="G38" s="45"/>
    </row>
    <row r="39" spans="1:11" ht="15.45" x14ac:dyDescent="0.4">
      <c r="B39" s="10" t="s">
        <v>95</v>
      </c>
      <c r="C39" s="23"/>
      <c r="E39" s="11"/>
      <c r="F39" s="44"/>
      <c r="G39" s="45"/>
    </row>
    <row r="40" spans="1:11" ht="15.45" x14ac:dyDescent="0.4">
      <c r="B40" s="10"/>
      <c r="C40" s="23"/>
      <c r="E40" s="11"/>
      <c r="F40" s="44"/>
      <c r="G40" s="45"/>
      <c r="H40" s="23" t="s">
        <v>26</v>
      </c>
    </row>
    <row r="41" spans="1:11" ht="15.45" x14ac:dyDescent="0.4">
      <c r="B41" s="40" t="s">
        <v>34</v>
      </c>
      <c r="C41" s="11"/>
      <c r="D41" s="11"/>
      <c r="F41" s="44">
        <f>(G26+G29)/2</f>
        <v>2175</v>
      </c>
      <c r="G41" s="11" t="s">
        <v>24</v>
      </c>
      <c r="H41" s="41">
        <f>F41/$C$4</f>
        <v>21.75</v>
      </c>
    </row>
    <row r="42" spans="1:11" ht="15.45" x14ac:dyDescent="0.4">
      <c r="B42" s="40"/>
      <c r="C42" s="10" t="s">
        <v>35</v>
      </c>
      <c r="F42" s="44">
        <f>F41*C34</f>
        <v>4350</v>
      </c>
      <c r="G42" s="11" t="s">
        <v>29</v>
      </c>
      <c r="H42" s="41">
        <f>F42/$C$4</f>
        <v>43.5</v>
      </c>
    </row>
    <row r="43" spans="1:11" x14ac:dyDescent="0.35">
      <c r="B43" s="11"/>
      <c r="C43" s="11"/>
      <c r="D43" s="11"/>
      <c r="E43" s="11"/>
      <c r="F43" s="11"/>
      <c r="G43" s="21"/>
      <c r="H43" s="46"/>
    </row>
    <row r="44" spans="1:11" x14ac:dyDescent="0.35">
      <c r="B44" s="137" t="s">
        <v>36</v>
      </c>
      <c r="C44" s="149"/>
      <c r="D44" s="149"/>
      <c r="E44" s="149"/>
      <c r="F44" s="149"/>
      <c r="G44" s="149"/>
      <c r="H44" s="150"/>
    </row>
    <row r="46" spans="1:11" ht="15.45" x14ac:dyDescent="0.4">
      <c r="A46" s="115"/>
      <c r="B46" s="97" t="s">
        <v>105</v>
      </c>
      <c r="E46" t="s">
        <v>106</v>
      </c>
      <c r="F46" s="98"/>
      <c r="H46" s="121">
        <f>F5</f>
        <v>2</v>
      </c>
    </row>
    <row r="47" spans="1:11" ht="15.45" x14ac:dyDescent="0.4">
      <c r="A47" s="117"/>
      <c r="B47" s="135" t="s">
        <v>107</v>
      </c>
      <c r="C47" s="136"/>
      <c r="D47" s="98"/>
      <c r="E47" s="98" t="s">
        <v>108</v>
      </c>
      <c r="F47" s="98"/>
      <c r="G47" s="99" t="s">
        <v>109</v>
      </c>
      <c r="H47" s="98"/>
      <c r="I47" s="100"/>
      <c r="J47" s="98"/>
    </row>
    <row r="48" spans="1:11" ht="15.45" x14ac:dyDescent="0.4">
      <c r="A48" s="115"/>
      <c r="B48" s="128" t="s">
        <v>110</v>
      </c>
      <c r="C48" s="98" t="s">
        <v>111</v>
      </c>
      <c r="D48" s="98"/>
      <c r="E48" s="98" t="s">
        <v>112</v>
      </c>
      <c r="F48" s="98"/>
      <c r="G48" s="100" t="s">
        <v>113</v>
      </c>
      <c r="H48" s="98" t="s">
        <v>32</v>
      </c>
      <c r="I48" s="100" t="s">
        <v>25</v>
      </c>
      <c r="K48" t="s">
        <v>38</v>
      </c>
    </row>
    <row r="49" spans="1:12" ht="15.45" x14ac:dyDescent="0.4">
      <c r="A49" s="115"/>
      <c r="B49" s="101" t="s">
        <v>114</v>
      </c>
      <c r="C49" s="102">
        <v>4</v>
      </c>
      <c r="D49" s="103"/>
      <c r="E49" s="31">
        <v>100</v>
      </c>
      <c r="F49" s="104"/>
      <c r="G49" s="22">
        <f>C49*E49</f>
        <v>400</v>
      </c>
      <c r="H49" s="105">
        <v>4</v>
      </c>
      <c r="I49" s="18">
        <f>G49*H49</f>
        <v>1600</v>
      </c>
      <c r="J49" s="22"/>
      <c r="K49">
        <f>C49*H49</f>
        <v>16</v>
      </c>
    </row>
    <row r="50" spans="1:12" ht="15.45" x14ac:dyDescent="0.4">
      <c r="A50" s="115"/>
      <c r="B50" s="101" t="s">
        <v>115</v>
      </c>
      <c r="C50" s="102">
        <v>2</v>
      </c>
      <c r="D50" s="103"/>
      <c r="E50" s="31">
        <v>100</v>
      </c>
      <c r="F50" s="104"/>
      <c r="G50" s="22">
        <f t="shared" ref="G50:G55" si="0">C50*E50</f>
        <v>200</v>
      </c>
      <c r="H50" s="105">
        <v>4</v>
      </c>
      <c r="I50" s="18">
        <f t="shared" ref="I50:I55" si="1">G50*H50</f>
        <v>800</v>
      </c>
      <c r="J50" s="22"/>
      <c r="K50">
        <f t="shared" ref="K50:K55" si="2">C50*H50</f>
        <v>8</v>
      </c>
    </row>
    <row r="51" spans="1:12" ht="15.45" x14ac:dyDescent="0.4">
      <c r="A51" s="115"/>
      <c r="B51" s="101" t="s">
        <v>116</v>
      </c>
      <c r="C51" s="102">
        <v>2</v>
      </c>
      <c r="D51" s="103"/>
      <c r="E51" s="31">
        <v>75</v>
      </c>
      <c r="F51" s="104"/>
      <c r="G51" s="22">
        <f t="shared" si="0"/>
        <v>150</v>
      </c>
      <c r="H51" s="105">
        <v>8</v>
      </c>
      <c r="I51" s="18">
        <f t="shared" si="1"/>
        <v>1200</v>
      </c>
      <c r="J51" s="22"/>
      <c r="K51">
        <f t="shared" si="2"/>
        <v>16</v>
      </c>
    </row>
    <row r="52" spans="1:12" ht="15.45" x14ac:dyDescent="0.4">
      <c r="A52" s="115"/>
      <c r="B52" s="101" t="s">
        <v>117</v>
      </c>
      <c r="C52" s="102">
        <v>3</v>
      </c>
      <c r="D52" s="103"/>
      <c r="E52" s="31">
        <v>75</v>
      </c>
      <c r="F52" s="104"/>
      <c r="G52" s="22">
        <f t="shared" si="0"/>
        <v>225</v>
      </c>
      <c r="H52" s="105">
        <v>8</v>
      </c>
      <c r="I52" s="18">
        <f t="shared" si="1"/>
        <v>1800</v>
      </c>
      <c r="J52" s="22"/>
      <c r="K52">
        <f t="shared" si="2"/>
        <v>24</v>
      </c>
    </row>
    <row r="53" spans="1:12" ht="15.45" x14ac:dyDescent="0.4">
      <c r="A53" s="115"/>
      <c r="B53" s="101" t="s">
        <v>118</v>
      </c>
      <c r="C53" s="102">
        <v>4</v>
      </c>
      <c r="D53" s="103"/>
      <c r="E53" s="31">
        <v>100</v>
      </c>
      <c r="F53" s="104"/>
      <c r="G53" s="22">
        <f t="shared" si="0"/>
        <v>400</v>
      </c>
      <c r="H53" s="105">
        <v>4</v>
      </c>
      <c r="I53" s="18">
        <f t="shared" si="1"/>
        <v>1600</v>
      </c>
      <c r="J53" s="22"/>
      <c r="K53">
        <f t="shared" si="2"/>
        <v>16</v>
      </c>
    </row>
    <row r="54" spans="1:12" ht="15.45" x14ac:dyDescent="0.4">
      <c r="A54" s="115"/>
      <c r="B54" s="101" t="s">
        <v>119</v>
      </c>
      <c r="C54" s="102">
        <v>0</v>
      </c>
      <c r="D54" s="103"/>
      <c r="E54" s="31">
        <v>0</v>
      </c>
      <c r="F54" s="104"/>
      <c r="G54" s="22">
        <f t="shared" si="0"/>
        <v>0</v>
      </c>
      <c r="H54" s="105">
        <v>0</v>
      </c>
      <c r="I54" s="18">
        <f t="shared" si="1"/>
        <v>0</v>
      </c>
      <c r="J54" s="22"/>
      <c r="K54">
        <f t="shared" si="2"/>
        <v>0</v>
      </c>
    </row>
    <row r="55" spans="1:12" ht="15.45" x14ac:dyDescent="0.4">
      <c r="A55" s="115"/>
      <c r="B55" s="101" t="s">
        <v>119</v>
      </c>
      <c r="C55" s="102"/>
      <c r="D55" s="103"/>
      <c r="E55" s="31">
        <v>0</v>
      </c>
      <c r="F55" s="104"/>
      <c r="G55" s="22">
        <f t="shared" si="0"/>
        <v>0</v>
      </c>
      <c r="H55" s="105">
        <v>0</v>
      </c>
      <c r="I55" s="18">
        <f t="shared" si="1"/>
        <v>0</v>
      </c>
      <c r="J55" s="22"/>
      <c r="K55">
        <f t="shared" si="2"/>
        <v>0</v>
      </c>
      <c r="L55" t="s">
        <v>120</v>
      </c>
    </row>
    <row r="56" spans="1:12" ht="15.45" x14ac:dyDescent="0.4">
      <c r="A56" s="115"/>
      <c r="B56" s="97" t="s">
        <v>121</v>
      </c>
      <c r="C56" s="106"/>
      <c r="D56" s="106"/>
      <c r="E56" s="31"/>
      <c r="F56" s="107"/>
      <c r="G56" s="41" t="s">
        <v>135</v>
      </c>
      <c r="H56" s="108" t="s">
        <v>137</v>
      </c>
      <c r="I56" s="109">
        <f>SUM(I49:I55)</f>
        <v>7000</v>
      </c>
      <c r="J56" s="41"/>
      <c r="K56" s="62">
        <f>SUM(K49:K55)</f>
        <v>80</v>
      </c>
      <c r="L56" s="81">
        <f>K56*(365/12)</f>
        <v>2433.3333333333335</v>
      </c>
    </row>
    <row r="57" spans="1:12" ht="15.45" x14ac:dyDescent="0.4">
      <c r="A57" s="115"/>
      <c r="B57" s="106"/>
      <c r="C57" s="97" t="s">
        <v>133</v>
      </c>
      <c r="F57" s="97"/>
      <c r="G57" s="110">
        <f>H46</f>
        <v>2</v>
      </c>
      <c r="H57" s="111" t="s">
        <v>122</v>
      </c>
      <c r="I57" s="109" t="s">
        <v>123</v>
      </c>
      <c r="L57" s="32">
        <f>L56/F5</f>
        <v>1216.6666666666667</v>
      </c>
    </row>
    <row r="58" spans="1:12" ht="15.45" x14ac:dyDescent="0.4">
      <c r="A58" s="115"/>
      <c r="B58" s="112" t="s">
        <v>124</v>
      </c>
      <c r="C58" s="106"/>
      <c r="D58" s="106"/>
      <c r="H58" s="22">
        <f>IF(L56=0,0,I56/L56)</f>
        <v>2.8767123287671232</v>
      </c>
      <c r="I58" s="41">
        <f>I56/G57</f>
        <v>3500</v>
      </c>
    </row>
    <row r="59" spans="1:12" x14ac:dyDescent="0.35">
      <c r="A59" s="115"/>
      <c r="B59" s="146" t="s">
        <v>125</v>
      </c>
      <c r="C59" s="147"/>
      <c r="D59" s="147"/>
      <c r="E59" s="147"/>
      <c r="F59" s="147"/>
      <c r="G59" s="147"/>
      <c r="H59" s="147"/>
      <c r="I59" s="148"/>
    </row>
  </sheetData>
  <sheetProtection sheet="1" objects="1" scenarios="1"/>
  <mergeCells count="6">
    <mergeCell ref="J27:N27"/>
    <mergeCell ref="B1:H1"/>
    <mergeCell ref="B47:C47"/>
    <mergeCell ref="B59:I59"/>
    <mergeCell ref="B44:H44"/>
    <mergeCell ref="B3:C3"/>
  </mergeCells>
  <pageMargins left="0.95" right="0.45" top="0.75" bottom="0.75" header="0.3" footer="0.3"/>
  <pageSetup scale="72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C99CC-7FEE-424A-8D02-38BDBF36C5D8}">
  <sheetPr>
    <pageSetUpPr fitToPage="1"/>
  </sheetPr>
  <dimension ref="A1:N57"/>
  <sheetViews>
    <sheetView topLeftCell="B25" zoomScaleNormal="100" workbookViewId="0">
      <selection activeCell="F30" sqref="F30"/>
    </sheetView>
  </sheetViews>
  <sheetFormatPr defaultRowHeight="15" x14ac:dyDescent="0.35"/>
  <cols>
    <col min="1" max="1" width="2.875" customWidth="1"/>
    <col min="2" max="2" width="29.5625" customWidth="1"/>
    <col min="3" max="3" width="10.25" customWidth="1"/>
    <col min="6" max="6" width="10.0625" customWidth="1"/>
    <col min="7" max="7" width="10.3125" customWidth="1"/>
    <col min="8" max="8" width="9.5625" customWidth="1"/>
    <col min="10" max="10" width="5.8125" customWidth="1"/>
  </cols>
  <sheetData>
    <row r="1" spans="2:14" ht="17.600000000000001" x14ac:dyDescent="0.4">
      <c r="B1" s="133" t="s">
        <v>92</v>
      </c>
      <c r="C1" s="133"/>
      <c r="D1" s="133"/>
      <c r="E1" s="133"/>
      <c r="F1" s="133"/>
      <c r="G1" s="133"/>
      <c r="H1" s="134"/>
      <c r="I1" s="134"/>
    </row>
    <row r="2" spans="2:14" ht="17.600000000000001" x14ac:dyDescent="0.4">
      <c r="B2" s="56"/>
      <c r="C2" s="56"/>
      <c r="D2" s="56"/>
      <c r="E2" s="56"/>
      <c r="F2" s="56"/>
      <c r="G2" s="56"/>
      <c r="H2" s="57"/>
      <c r="I2" s="57"/>
    </row>
    <row r="3" spans="2:14" ht="17.600000000000001" x14ac:dyDescent="0.4">
      <c r="B3" s="159" t="s">
        <v>101</v>
      </c>
      <c r="C3" s="160"/>
      <c r="D3" s="56"/>
      <c r="E3" s="56"/>
      <c r="G3" s="62" t="s">
        <v>79</v>
      </c>
      <c r="H3" s="57"/>
      <c r="I3" s="57"/>
    </row>
    <row r="4" spans="2:14" ht="15.45" x14ac:dyDescent="0.4">
      <c r="B4" s="87" t="s">
        <v>86</v>
      </c>
      <c r="C4" s="66">
        <f>'Key Bull Data &amp; Results'!C5</f>
        <v>100</v>
      </c>
      <c r="D4" s="57" t="s">
        <v>88</v>
      </c>
      <c r="E4" s="92">
        <f>'Key Bull Data &amp; Results'!D5*0.01</f>
        <v>0.6</v>
      </c>
      <c r="G4" s="87" t="s">
        <v>84</v>
      </c>
      <c r="H4" s="57"/>
      <c r="I4" s="57"/>
      <c r="L4" s="7" t="s">
        <v>1</v>
      </c>
    </row>
    <row r="5" spans="2:14" ht="15.45" x14ac:dyDescent="0.4">
      <c r="D5" s="62" t="s">
        <v>89</v>
      </c>
      <c r="G5" s="5">
        <v>3</v>
      </c>
      <c r="J5" s="58"/>
    </row>
    <row r="6" spans="2:14" ht="15.45" x14ac:dyDescent="0.4">
      <c r="B6" s="73" t="s">
        <v>81</v>
      </c>
      <c r="C6" s="8"/>
      <c r="D6" s="77">
        <f>'2. Owned Bull 2 Years'!D5</f>
        <v>40</v>
      </c>
      <c r="E6" s="75" t="s">
        <v>32</v>
      </c>
      <c r="F6" s="9">
        <f>D6/F7</f>
        <v>2.6666666666666665</v>
      </c>
      <c r="G6" s="8"/>
      <c r="J6" t="s">
        <v>70</v>
      </c>
      <c r="K6" s="59">
        <v>15</v>
      </c>
      <c r="L6" s="78" t="s">
        <v>72</v>
      </c>
    </row>
    <row r="7" spans="2:14" ht="15.45" x14ac:dyDescent="0.4">
      <c r="C7" s="62" t="s">
        <v>146</v>
      </c>
      <c r="F7" s="4">
        <v>15</v>
      </c>
      <c r="H7" s="8"/>
      <c r="J7" t="s">
        <v>71</v>
      </c>
      <c r="K7" s="59">
        <v>25</v>
      </c>
      <c r="L7">
        <f>((K6+K7)*0.5)</f>
        <v>20</v>
      </c>
      <c r="N7" s="59"/>
    </row>
    <row r="8" spans="2:14" ht="61.75" x14ac:dyDescent="0.4">
      <c r="B8" s="10" t="s">
        <v>2</v>
      </c>
      <c r="C8" s="11"/>
      <c r="D8" s="11"/>
      <c r="E8" s="12" t="s">
        <v>3</v>
      </c>
      <c r="F8" s="12" t="s">
        <v>53</v>
      </c>
      <c r="G8" s="12" t="s">
        <v>55</v>
      </c>
    </row>
    <row r="9" spans="2:14" ht="15.45" x14ac:dyDescent="0.4">
      <c r="B9" s="10"/>
      <c r="C9" s="11"/>
      <c r="D9" s="11"/>
      <c r="E9" s="12"/>
      <c r="F9" s="13"/>
      <c r="G9" s="12"/>
    </row>
    <row r="10" spans="2:14" x14ac:dyDescent="0.35">
      <c r="B10" s="11" t="s">
        <v>131</v>
      </c>
      <c r="C10" s="50"/>
      <c r="D10" s="51"/>
      <c r="E10" s="71">
        <f>I56</f>
        <v>1054.1666666666667</v>
      </c>
      <c r="F10" s="18">
        <f>E10*$G$5</f>
        <v>3162.5</v>
      </c>
      <c r="G10" s="16">
        <f>F10/$C$4</f>
        <v>31.625</v>
      </c>
    </row>
    <row r="11" spans="2:14" x14ac:dyDescent="0.35">
      <c r="B11" s="17" t="s">
        <v>4</v>
      </c>
      <c r="C11" s="11"/>
      <c r="D11" s="11"/>
      <c r="E11" s="14">
        <v>0</v>
      </c>
      <c r="F11" s="18">
        <f>E11*$G$5</f>
        <v>0</v>
      </c>
      <c r="G11" s="16">
        <f>F11/$C$4</f>
        <v>0</v>
      </c>
    </row>
    <row r="12" spans="2:14" x14ac:dyDescent="0.35">
      <c r="B12" s="11" t="s">
        <v>5</v>
      </c>
      <c r="C12" s="11"/>
      <c r="D12" s="11"/>
      <c r="E12" s="14">
        <v>75</v>
      </c>
      <c r="F12" s="18">
        <f>E12*$G$5</f>
        <v>225</v>
      </c>
      <c r="G12" s="16">
        <f>F12/$C$4</f>
        <v>2.25</v>
      </c>
      <c r="J12" t="s">
        <v>6</v>
      </c>
    </row>
    <row r="13" spans="2:14" x14ac:dyDescent="0.35">
      <c r="B13" s="11"/>
      <c r="C13" s="11" t="s">
        <v>102</v>
      </c>
      <c r="D13" s="11" t="s">
        <v>103</v>
      </c>
      <c r="E13" s="14"/>
      <c r="F13" s="18"/>
      <c r="G13" s="16"/>
    </row>
    <row r="14" spans="2:14" x14ac:dyDescent="0.35">
      <c r="B14" s="11" t="s">
        <v>104</v>
      </c>
      <c r="C14" s="122">
        <f>L55</f>
        <v>390.34722222222223</v>
      </c>
      <c r="D14" s="96">
        <v>0.5</v>
      </c>
      <c r="E14" s="71">
        <f>D14*C14</f>
        <v>195.17361111111111</v>
      </c>
      <c r="F14" s="18">
        <f>E14*$G$5</f>
        <v>585.52083333333337</v>
      </c>
      <c r="G14" s="16">
        <f>F14/$C$4</f>
        <v>5.8552083333333336</v>
      </c>
    </row>
    <row r="15" spans="2:14" x14ac:dyDescent="0.35">
      <c r="B15" s="11" t="s">
        <v>7</v>
      </c>
      <c r="C15" s="11"/>
      <c r="D15" s="11"/>
      <c r="E15" s="18">
        <f>(E10+E11+E12+E14)*0.5*J31*0.01</f>
        <v>35.407708815586425</v>
      </c>
      <c r="F15" s="18">
        <f>E15*$G$5</f>
        <v>106.22312644675927</v>
      </c>
      <c r="G15" s="16">
        <f>F15/$C$4</f>
        <v>1.0622312644675926</v>
      </c>
    </row>
    <row r="16" spans="2:14" ht="15.45" x14ac:dyDescent="0.4">
      <c r="B16" s="10" t="s">
        <v>8</v>
      </c>
      <c r="C16" s="11"/>
      <c r="D16" s="11"/>
      <c r="E16" s="19">
        <f>SUM(E10:E15)</f>
        <v>1359.7479865933642</v>
      </c>
      <c r="F16" s="19">
        <f>E16*$G$5</f>
        <v>4079.2439597800926</v>
      </c>
      <c r="G16" s="20">
        <f>F16/$C$4</f>
        <v>40.792439597800929</v>
      </c>
    </row>
    <row r="17" spans="2:14" ht="15.45" x14ac:dyDescent="0.4">
      <c r="B17" s="10"/>
      <c r="C17" s="11"/>
      <c r="D17" s="11"/>
      <c r="E17" s="19"/>
      <c r="F17" s="11"/>
      <c r="G17" s="20"/>
    </row>
    <row r="18" spans="2:14" ht="15.45" x14ac:dyDescent="0.4">
      <c r="B18" s="10" t="s">
        <v>9</v>
      </c>
      <c r="C18" s="11"/>
      <c r="D18" s="11"/>
      <c r="E18" s="11"/>
      <c r="F18" s="11"/>
      <c r="G18" s="11"/>
    </row>
    <row r="19" spans="2:14" x14ac:dyDescent="0.35">
      <c r="B19" s="11" t="s">
        <v>10</v>
      </c>
      <c r="C19" s="11"/>
      <c r="D19" s="11"/>
      <c r="E19" s="18">
        <f>IF(G27=0,0,(G26-G29)/G27)</f>
        <v>1860</v>
      </c>
      <c r="F19" s="18">
        <f>E19*$G$5</f>
        <v>5580</v>
      </c>
      <c r="G19" s="16">
        <f>F19/$C$4</f>
        <v>55.8</v>
      </c>
    </row>
    <row r="20" spans="2:14" x14ac:dyDescent="0.35">
      <c r="B20" s="11" t="s">
        <v>150</v>
      </c>
      <c r="C20" s="11"/>
      <c r="D20" s="11"/>
      <c r="E20" s="21">
        <f>F41*J20*0.01</f>
        <v>110.6875</v>
      </c>
      <c r="F20" s="18">
        <f>E20*$G$5</f>
        <v>332.0625</v>
      </c>
      <c r="G20" s="16">
        <f>F20/$C$4</f>
        <v>3.3206250000000002</v>
      </c>
      <c r="J20" s="129">
        <f>J31</f>
        <v>5.3472222222222223</v>
      </c>
      <c r="K20" t="s">
        <v>149</v>
      </c>
    </row>
    <row r="21" spans="2:14" x14ac:dyDescent="0.35">
      <c r="B21" s="11" t="s">
        <v>151</v>
      </c>
      <c r="C21" s="11"/>
      <c r="D21" s="95">
        <v>0.5</v>
      </c>
      <c r="E21" s="18">
        <f>G26*D21*0.01</f>
        <v>15</v>
      </c>
      <c r="F21" s="18">
        <f>E21*$G$5</f>
        <v>45</v>
      </c>
      <c r="G21" s="16">
        <f>F21/$C$4</f>
        <v>0.45</v>
      </c>
    </row>
    <row r="22" spans="2:14" ht="15.45" x14ac:dyDescent="0.4">
      <c r="B22" s="10" t="s">
        <v>12</v>
      </c>
      <c r="C22" s="11"/>
      <c r="D22" s="11"/>
      <c r="E22" s="19">
        <f>SUM(E19:E21)</f>
        <v>1985.6875</v>
      </c>
      <c r="F22" s="19">
        <f>E22*$G$5</f>
        <v>5957.0625</v>
      </c>
      <c r="G22" s="20">
        <f>F22/$C$4</f>
        <v>59.570625</v>
      </c>
      <c r="J22" s="22"/>
      <c r="L22" s="22"/>
    </row>
    <row r="23" spans="2:14" ht="15.45" x14ac:dyDescent="0.4">
      <c r="B23" s="10"/>
      <c r="C23" s="11"/>
      <c r="D23" s="11"/>
      <c r="E23" s="18"/>
      <c r="F23" s="16" t="s">
        <v>76</v>
      </c>
      <c r="G23" s="16" t="s">
        <v>77</v>
      </c>
      <c r="J23" s="22"/>
    </row>
    <row r="24" spans="2:14" ht="15.45" x14ac:dyDescent="0.4">
      <c r="B24" s="23" t="s">
        <v>75</v>
      </c>
      <c r="C24" s="11"/>
      <c r="D24" s="11"/>
      <c r="E24" s="19">
        <f>E16+E22</f>
        <v>3345.4354865933642</v>
      </c>
      <c r="F24" s="79">
        <f>F7</f>
        <v>15</v>
      </c>
      <c r="G24" s="20">
        <f>E24/F24</f>
        <v>223.02903243955762</v>
      </c>
      <c r="J24" s="22"/>
      <c r="M24" s="22"/>
      <c r="N24" s="22"/>
    </row>
    <row r="25" spans="2:14" x14ac:dyDescent="0.35">
      <c r="B25" s="11"/>
      <c r="C25" s="11"/>
      <c r="D25" s="11"/>
      <c r="E25" s="11"/>
      <c r="F25" s="11"/>
      <c r="G25" s="11"/>
      <c r="J25" s="25"/>
    </row>
    <row r="26" spans="2:14" ht="15.45" x14ac:dyDescent="0.4">
      <c r="B26" s="10" t="s">
        <v>14</v>
      </c>
      <c r="C26" s="11"/>
      <c r="D26" s="11"/>
      <c r="E26" s="11"/>
      <c r="F26" s="11"/>
      <c r="G26" s="72">
        <f>'Key Bull Data &amp; Results'!C26</f>
        <v>3000</v>
      </c>
    </row>
    <row r="27" spans="2:14" x14ac:dyDescent="0.35">
      <c r="B27" s="11" t="s">
        <v>15</v>
      </c>
      <c r="C27" s="11"/>
      <c r="D27" s="11"/>
      <c r="E27" s="11"/>
      <c r="F27" s="11"/>
      <c r="G27" s="27">
        <v>1</v>
      </c>
      <c r="J27" s="144"/>
      <c r="K27" s="145"/>
      <c r="L27" s="145"/>
      <c r="M27" s="145"/>
      <c r="N27" s="145"/>
    </row>
    <row r="28" spans="2:14" x14ac:dyDescent="0.35">
      <c r="B28" s="11"/>
      <c r="C28" s="11"/>
      <c r="D28" s="11"/>
      <c r="E28" s="28" t="s">
        <v>16</v>
      </c>
      <c r="F28" s="28" t="s">
        <v>17</v>
      </c>
      <c r="G28" s="28" t="s">
        <v>18</v>
      </c>
      <c r="I28" s="29"/>
      <c r="J28" s="28"/>
      <c r="N28" s="11"/>
    </row>
    <row r="29" spans="2:14" ht="15.45" x14ac:dyDescent="0.4">
      <c r="B29" s="11" t="s">
        <v>19</v>
      </c>
      <c r="C29" s="11"/>
      <c r="D29" s="11"/>
      <c r="E29" s="30">
        <v>1200</v>
      </c>
      <c r="F29" s="31">
        <v>95</v>
      </c>
      <c r="G29" s="21">
        <f>E29*F29*0.01</f>
        <v>1140</v>
      </c>
      <c r="J29" s="20"/>
      <c r="K29" s="16"/>
    </row>
    <row r="30" spans="2:14" x14ac:dyDescent="0.35">
      <c r="B30" s="11"/>
      <c r="C30" s="11"/>
      <c r="D30" s="11"/>
      <c r="E30" s="11"/>
      <c r="F30" s="11"/>
      <c r="G30" s="11"/>
      <c r="J30" s="22"/>
      <c r="K30" s="16"/>
      <c r="M30" s="11"/>
      <c r="N30" s="32"/>
    </row>
    <row r="31" spans="2:14" x14ac:dyDescent="0.35">
      <c r="B31" s="11" t="s">
        <v>20</v>
      </c>
      <c r="C31" s="11"/>
      <c r="D31" s="11"/>
      <c r="E31" s="132">
        <v>5</v>
      </c>
      <c r="F31" s="11" t="s">
        <v>21</v>
      </c>
      <c r="G31" s="11"/>
      <c r="J31" s="129">
        <f>(E31*(C14/365))</f>
        <v>5.3472222222222223</v>
      </c>
      <c r="K31" t="s">
        <v>149</v>
      </c>
    </row>
    <row r="32" spans="2:14" ht="15.45" x14ac:dyDescent="0.4">
      <c r="B32" s="11" t="s">
        <v>22</v>
      </c>
      <c r="C32" s="11"/>
      <c r="D32" s="11"/>
      <c r="E32" s="33"/>
      <c r="F32" s="11"/>
      <c r="G32" s="11"/>
      <c r="J32" s="34"/>
      <c r="K32" s="18"/>
    </row>
    <row r="33" spans="1:11" ht="15.45" x14ac:dyDescent="0.4">
      <c r="B33" s="11"/>
      <c r="C33" s="10" t="s">
        <v>23</v>
      </c>
      <c r="D33" s="10"/>
      <c r="E33" s="35" t="s">
        <v>24</v>
      </c>
      <c r="F33" s="10"/>
      <c r="G33" s="10" t="s">
        <v>25</v>
      </c>
      <c r="H33" s="94" t="s">
        <v>26</v>
      </c>
      <c r="J33" s="36"/>
      <c r="K33" s="37"/>
    </row>
    <row r="34" spans="1:11" ht="15.45" x14ac:dyDescent="0.4">
      <c r="B34" s="23" t="s">
        <v>27</v>
      </c>
      <c r="C34" s="24">
        <f>G5</f>
        <v>3</v>
      </c>
      <c r="D34" s="38" t="s">
        <v>28</v>
      </c>
      <c r="E34" s="39">
        <f>E24-E20-E15</f>
        <v>3199.3402777777778</v>
      </c>
      <c r="F34" s="11"/>
      <c r="G34" s="18">
        <f>$C$34*$E34</f>
        <v>9598.0208333333339</v>
      </c>
      <c r="H34" s="16">
        <f>G34/$C$4</f>
        <v>95.980208333333337</v>
      </c>
    </row>
    <row r="35" spans="1:11" ht="15.45" x14ac:dyDescent="0.4">
      <c r="B35" s="10"/>
      <c r="C35" s="24"/>
      <c r="D35" s="40" t="s">
        <v>13</v>
      </c>
      <c r="E35" s="39">
        <f>E20+E15</f>
        <v>146.09520881558643</v>
      </c>
      <c r="F35" s="11"/>
      <c r="G35" s="18">
        <f>$C$34*$E35</f>
        <v>438.2856264467593</v>
      </c>
      <c r="H35" s="16">
        <f>G35/$C$4</f>
        <v>4.382856264467593</v>
      </c>
    </row>
    <row r="36" spans="1:11" ht="17.600000000000001" x14ac:dyDescent="0.4">
      <c r="B36" s="10"/>
      <c r="C36" s="11"/>
      <c r="D36" s="10" t="s">
        <v>29</v>
      </c>
      <c r="E36" s="19">
        <f>E34+E35</f>
        <v>3345.4354865933642</v>
      </c>
      <c r="F36" s="11"/>
      <c r="G36" s="19">
        <f>$C$34*$E36</f>
        <v>10036.306459780093</v>
      </c>
      <c r="H36" s="131">
        <f>G36/C4</f>
        <v>100.36306459780093</v>
      </c>
      <c r="K36" s="22"/>
    </row>
    <row r="37" spans="1:11" ht="15.45" x14ac:dyDescent="0.4">
      <c r="B37" s="10" t="s">
        <v>94</v>
      </c>
      <c r="C37" s="42">
        <f>C4</f>
        <v>100</v>
      </c>
      <c r="D37" s="40"/>
      <c r="E37" s="11"/>
      <c r="F37" s="10" t="s">
        <v>31</v>
      </c>
      <c r="G37" s="20">
        <f>G36/C37</f>
        <v>100.36306459780093</v>
      </c>
    </row>
    <row r="38" spans="1:11" ht="15.45" x14ac:dyDescent="0.4">
      <c r="B38" s="23" t="s">
        <v>98</v>
      </c>
      <c r="C38" s="43">
        <f>C34</f>
        <v>3</v>
      </c>
      <c r="D38" s="23" t="s">
        <v>32</v>
      </c>
      <c r="E38" s="10" t="s">
        <v>29</v>
      </c>
      <c r="F38" s="44">
        <f>G26*G5</f>
        <v>9000</v>
      </c>
      <c r="G38" s="45"/>
    </row>
    <row r="39" spans="1:11" ht="15.45" x14ac:dyDescent="0.4">
      <c r="B39" s="10" t="s">
        <v>33</v>
      </c>
      <c r="C39" s="23"/>
      <c r="E39" s="11"/>
      <c r="F39" s="44"/>
      <c r="G39" s="45"/>
    </row>
    <row r="40" spans="1:11" ht="15.45" x14ac:dyDescent="0.4">
      <c r="B40" s="10"/>
      <c r="C40" s="23"/>
      <c r="E40" s="11"/>
      <c r="F40" s="44"/>
      <c r="G40" s="45"/>
      <c r="H40" s="94" t="s">
        <v>26</v>
      </c>
    </row>
    <row r="41" spans="1:11" ht="15.45" x14ac:dyDescent="0.4">
      <c r="B41" s="40" t="s">
        <v>34</v>
      </c>
      <c r="C41" s="11"/>
      <c r="D41" s="11"/>
      <c r="F41" s="44">
        <f>(G26+G29)/2</f>
        <v>2070</v>
      </c>
      <c r="G41" s="11" t="s">
        <v>24</v>
      </c>
      <c r="H41" s="41">
        <f>F41/$C$4</f>
        <v>20.7</v>
      </c>
    </row>
    <row r="42" spans="1:11" ht="15.45" x14ac:dyDescent="0.4">
      <c r="B42" s="40"/>
      <c r="C42" s="10" t="s">
        <v>35</v>
      </c>
      <c r="F42" s="44">
        <f>F41*C34</f>
        <v>6210</v>
      </c>
      <c r="G42" s="11" t="s">
        <v>29</v>
      </c>
      <c r="H42" s="41">
        <f>F42/$C$4</f>
        <v>62.1</v>
      </c>
    </row>
    <row r="43" spans="1:11" x14ac:dyDescent="0.35">
      <c r="B43" s="11"/>
      <c r="C43" s="11"/>
      <c r="D43" s="11"/>
      <c r="E43" s="11"/>
      <c r="F43" s="11"/>
      <c r="G43" s="21"/>
      <c r="H43" s="46"/>
    </row>
    <row r="44" spans="1:11" x14ac:dyDescent="0.35">
      <c r="B44" s="156" t="s">
        <v>142</v>
      </c>
      <c r="C44" s="157"/>
      <c r="D44" s="157"/>
      <c r="E44" s="157"/>
      <c r="F44" s="157"/>
      <c r="G44" s="157"/>
      <c r="H44" s="158"/>
    </row>
    <row r="45" spans="1:11" x14ac:dyDescent="0.35">
      <c r="B45" s="124"/>
      <c r="C45" s="125"/>
      <c r="D45" s="125"/>
      <c r="E45" s="125"/>
      <c r="F45" s="125"/>
      <c r="G45" s="125"/>
      <c r="H45" s="125"/>
    </row>
    <row r="46" spans="1:11" ht="15.45" x14ac:dyDescent="0.4">
      <c r="A46" s="115"/>
      <c r="B46" s="97" t="s">
        <v>105</v>
      </c>
      <c r="E46" t="s">
        <v>106</v>
      </c>
      <c r="F46" s="98"/>
      <c r="H46" s="121">
        <f>G5</f>
        <v>3</v>
      </c>
    </row>
    <row r="47" spans="1:11" ht="15.45" x14ac:dyDescent="0.4">
      <c r="A47" s="115"/>
      <c r="B47" s="118" t="s">
        <v>126</v>
      </c>
      <c r="C47" s="116"/>
      <c r="D47" s="98"/>
      <c r="E47" s="98" t="s">
        <v>108</v>
      </c>
      <c r="F47" s="98"/>
      <c r="G47" s="99" t="s">
        <v>109</v>
      </c>
      <c r="H47" s="98"/>
      <c r="I47" s="100"/>
      <c r="J47" s="98"/>
    </row>
    <row r="48" spans="1:11" ht="15.45" x14ac:dyDescent="0.4">
      <c r="A48" s="115"/>
      <c r="B48" s="128" t="s">
        <v>110</v>
      </c>
      <c r="C48" s="98" t="s">
        <v>111</v>
      </c>
      <c r="D48" s="98"/>
      <c r="E48" s="98" t="s">
        <v>112</v>
      </c>
      <c r="F48" s="98"/>
      <c r="G48" s="100" t="s">
        <v>113</v>
      </c>
      <c r="H48" s="98" t="s">
        <v>32</v>
      </c>
      <c r="I48" s="100" t="s">
        <v>25</v>
      </c>
      <c r="J48" s="100"/>
      <c r="K48" t="s">
        <v>38</v>
      </c>
    </row>
    <row r="49" spans="1:13" ht="15.45" x14ac:dyDescent="0.4">
      <c r="A49" s="115"/>
      <c r="B49" s="101" t="s">
        <v>114</v>
      </c>
      <c r="C49" s="102">
        <v>1</v>
      </c>
      <c r="D49" s="103"/>
      <c r="E49" s="31">
        <v>100</v>
      </c>
      <c r="F49" s="104"/>
      <c r="G49" s="22">
        <f>C49*E49</f>
        <v>100</v>
      </c>
      <c r="H49" s="105">
        <v>11</v>
      </c>
      <c r="I49" s="18">
        <f>G49*H49</f>
        <v>1100</v>
      </c>
      <c r="J49" s="22"/>
      <c r="K49">
        <f>C49*H49</f>
        <v>11</v>
      </c>
    </row>
    <row r="50" spans="1:13" ht="15.45" x14ac:dyDescent="0.4">
      <c r="A50" s="115"/>
      <c r="B50" s="101" t="s">
        <v>116</v>
      </c>
      <c r="C50" s="102">
        <v>2</v>
      </c>
      <c r="D50" s="103"/>
      <c r="E50" s="31">
        <v>75</v>
      </c>
      <c r="F50" s="104"/>
      <c r="G50" s="22">
        <f t="shared" ref="G50:G53" si="0">C50*E50</f>
        <v>150</v>
      </c>
      <c r="H50" s="105">
        <v>11</v>
      </c>
      <c r="I50" s="18">
        <f t="shared" ref="I50:I53" si="1">G50*H50</f>
        <v>1650</v>
      </c>
      <c r="J50" s="22"/>
      <c r="K50">
        <f t="shared" ref="K50:K53" si="2">C50*H50</f>
        <v>22</v>
      </c>
    </row>
    <row r="51" spans="1:13" ht="15.45" x14ac:dyDescent="0.4">
      <c r="A51" s="115"/>
      <c r="B51" s="101" t="s">
        <v>127</v>
      </c>
      <c r="C51" s="114">
        <v>0.5</v>
      </c>
      <c r="D51" s="103"/>
      <c r="E51" s="31">
        <v>75</v>
      </c>
      <c r="F51" s="104"/>
      <c r="G51" s="22">
        <f t="shared" si="0"/>
        <v>37.5</v>
      </c>
      <c r="H51" s="105">
        <v>11</v>
      </c>
      <c r="I51" s="18">
        <f t="shared" si="1"/>
        <v>412.5</v>
      </c>
      <c r="J51" s="22"/>
      <c r="K51">
        <f t="shared" si="2"/>
        <v>5.5</v>
      </c>
    </row>
    <row r="52" spans="1:13" ht="15.45" x14ac:dyDescent="0.4">
      <c r="A52" s="115"/>
      <c r="B52" s="101" t="s">
        <v>119</v>
      </c>
      <c r="C52" s="102">
        <v>0</v>
      </c>
      <c r="D52" s="103"/>
      <c r="E52" s="31">
        <v>0</v>
      </c>
      <c r="F52" s="104"/>
      <c r="G52" s="22">
        <f t="shared" si="0"/>
        <v>0</v>
      </c>
      <c r="H52" s="105">
        <v>0</v>
      </c>
      <c r="I52" s="18">
        <f t="shared" si="1"/>
        <v>0</v>
      </c>
      <c r="J52" s="22"/>
      <c r="K52">
        <f t="shared" si="2"/>
        <v>0</v>
      </c>
    </row>
    <row r="53" spans="1:13" ht="15.45" x14ac:dyDescent="0.4">
      <c r="A53" s="115"/>
      <c r="B53" s="101" t="s">
        <v>119</v>
      </c>
      <c r="C53" s="102"/>
      <c r="D53" s="103"/>
      <c r="E53" s="31">
        <v>0</v>
      </c>
      <c r="F53" s="104"/>
      <c r="G53" s="22">
        <f t="shared" si="0"/>
        <v>0</v>
      </c>
      <c r="H53" s="105">
        <v>0</v>
      </c>
      <c r="I53" s="18">
        <f t="shared" si="1"/>
        <v>0</v>
      </c>
      <c r="J53" s="22"/>
      <c r="K53">
        <f t="shared" si="2"/>
        <v>0</v>
      </c>
      <c r="L53" t="s">
        <v>120</v>
      </c>
    </row>
    <row r="54" spans="1:13" ht="15.45" x14ac:dyDescent="0.4">
      <c r="B54" s="97" t="s">
        <v>121</v>
      </c>
      <c r="C54" s="106"/>
      <c r="D54" s="106"/>
      <c r="E54" s="31"/>
      <c r="F54" s="107"/>
      <c r="G54" s="41" t="s">
        <v>136</v>
      </c>
      <c r="H54" s="108" t="s">
        <v>137</v>
      </c>
      <c r="I54" s="109">
        <f>SUM(I49:I53)</f>
        <v>3162.5</v>
      </c>
      <c r="J54" s="41"/>
      <c r="K54" s="62">
        <f>SUM(K49:K53)</f>
        <v>38.5</v>
      </c>
      <c r="L54" s="81">
        <f>K54*(365/12)</f>
        <v>1171.0416666666667</v>
      </c>
    </row>
    <row r="55" spans="1:13" ht="15.45" x14ac:dyDescent="0.4">
      <c r="B55" s="106"/>
      <c r="C55" s="97" t="s">
        <v>132</v>
      </c>
      <c r="F55" s="97"/>
      <c r="G55" s="110">
        <f>H46</f>
        <v>3</v>
      </c>
      <c r="H55" s="111" t="s">
        <v>122</v>
      </c>
      <c r="I55" s="109" t="s">
        <v>123</v>
      </c>
      <c r="L55" s="68">
        <f>L54/G5</f>
        <v>390.34722222222223</v>
      </c>
      <c r="M55" t="s">
        <v>123</v>
      </c>
    </row>
    <row r="56" spans="1:13" ht="15.45" x14ac:dyDescent="0.4">
      <c r="B56" s="112" t="s">
        <v>124</v>
      </c>
      <c r="C56" s="106"/>
      <c r="D56" s="106"/>
      <c r="H56" s="22">
        <f>IF(L54=0,0,I54/L54)</f>
        <v>2.7005870841487276</v>
      </c>
      <c r="I56" s="41">
        <f>I54/G55</f>
        <v>1054.1666666666667</v>
      </c>
    </row>
    <row r="57" spans="1:13" x14ac:dyDescent="0.35">
      <c r="B57" s="153" t="s">
        <v>143</v>
      </c>
      <c r="C57" s="154"/>
      <c r="D57" s="154"/>
      <c r="E57" s="154"/>
      <c r="F57" s="154"/>
      <c r="G57" s="154"/>
      <c r="H57" s="154"/>
      <c r="I57" s="155"/>
    </row>
  </sheetData>
  <sheetProtection sheet="1" objects="1" scenarios="1"/>
  <mergeCells count="5">
    <mergeCell ref="B57:I57"/>
    <mergeCell ref="J27:N27"/>
    <mergeCell ref="B44:H44"/>
    <mergeCell ref="B1:I1"/>
    <mergeCell ref="B3:C3"/>
  </mergeCells>
  <pageMargins left="0.95" right="0.45" top="0.75" bottom="0.75" header="0.3" footer="0.3"/>
  <pageSetup scale="75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Key Bull Data &amp; Results</vt:lpstr>
      <vt:lpstr>1. Lease Yearling Bull </vt:lpstr>
      <vt:lpstr>2. Owned Bull 2 Years</vt:lpstr>
      <vt:lpstr>3. Owned Bull 1 Breeding Season</vt:lpstr>
      <vt:lpstr>'1. Lease Yearling Bull '!Print_Area</vt:lpstr>
      <vt:lpstr>'2. Owned Bull 2 Years'!Print_Area</vt:lpstr>
      <vt:lpstr>'3. Owned Bull 1 Breeding Season'!Print_Area</vt:lpstr>
      <vt:lpstr>'Key Bull Data &amp;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2020-06-30T22:07:49Z</cp:lastPrinted>
  <dcterms:created xsi:type="dcterms:W3CDTF">2020-02-23T07:30:23Z</dcterms:created>
  <dcterms:modified xsi:type="dcterms:W3CDTF">2020-06-30T22:09:45Z</dcterms:modified>
</cp:coreProperties>
</file>