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F:\Custom Finish Cattle\"/>
    </mc:Choice>
  </mc:AlternateContent>
  <xr:revisionPtr revIDLastSave="0" documentId="13_ncr:1_{C3332E9C-18D7-4BA8-B368-B5EA266A35DE}" xr6:coauthVersionLast="45" xr6:coauthVersionMax="45" xr10:uidLastSave="{00000000-0000-0000-0000-000000000000}"/>
  <bookViews>
    <workbookView xWindow="-103" yWindow="-103" windowWidth="16663" windowHeight="8863" tabRatio="975" xr2:uid="{00000000-000D-0000-FFFF-FFFF00000000}"/>
  </bookViews>
  <sheets>
    <sheet name="1. CattleFinisih&amp;ROI Projection" sheetId="1" r:id="rId1"/>
    <sheet name="2. Cost Sensitivity Analysis" sheetId="7" r:id="rId2"/>
    <sheet name="3.Performance Report" sheetId="4" r:id="rId3"/>
    <sheet name="4. Graphs" sheetId="5" r:id="rId4"/>
  </sheets>
  <definedNames>
    <definedName name="margin_slide">'1. CattleFinisih&amp;ROI Projection'!$B$75</definedName>
    <definedName name="_xlnm.Print_Area" localSheetId="0">'1. CattleFinisih&amp;ROI Projection'!$B$1:$F$131</definedName>
    <definedName name="_xlnm.Print_Area" localSheetId="1">'2. Cost Sensitivity Analysis'!$B$1:$G$63</definedName>
    <definedName name="_xlnm.Print_Area" localSheetId="2">'3.Performance Report'!$B$1:$C$61</definedName>
    <definedName name="_xlnm.Print_Area" localSheetId="3">'4. Graphs'!$B$1:$L$71</definedName>
    <definedName name="sell_keep">'1. CattleFinisih&amp;ROI Projection'!$B$1</definedName>
    <definedName name="sensitivit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J38" i="1" l="1"/>
  <c r="J5" i="7" l="1"/>
  <c r="D124" i="1"/>
  <c r="E124" i="1"/>
  <c r="C14" i="7"/>
  <c r="F12" i="4"/>
  <c r="C12" i="4"/>
  <c r="C2" i="4"/>
  <c r="H71" i="1"/>
  <c r="J30" i="7"/>
  <c r="E30" i="7"/>
  <c r="F30" i="7" s="1"/>
  <c r="F66" i="7" s="1"/>
  <c r="D105" i="1"/>
  <c r="I110" i="1" s="1"/>
  <c r="M15" i="1"/>
  <c r="C60" i="4"/>
  <c r="C45" i="4"/>
  <c r="F19" i="1"/>
  <c r="F21" i="1" s="1"/>
  <c r="J16" i="1"/>
  <c r="H40" i="5"/>
  <c r="C3" i="4"/>
  <c r="C4" i="4"/>
  <c r="C5" i="4"/>
  <c r="C6" i="4"/>
  <c r="C7" i="4"/>
  <c r="C8" i="4"/>
  <c r="C9" i="4"/>
  <c r="C10" i="4"/>
  <c r="C11" i="4"/>
  <c r="C13" i="4"/>
  <c r="C51" i="4"/>
  <c r="C53" i="4"/>
  <c r="C57" i="4"/>
  <c r="C3" i="7"/>
  <c r="C4" i="7"/>
  <c r="J4" i="7"/>
  <c r="L29" i="1"/>
  <c r="O29" i="1" s="1"/>
  <c r="F30" i="1"/>
  <c r="H41" i="5" s="1"/>
  <c r="N36" i="1"/>
  <c r="Q36" i="1"/>
  <c r="F44" i="1"/>
  <c r="J37" i="5"/>
  <c r="F45" i="1"/>
  <c r="J38" i="5" s="1"/>
  <c r="F46" i="1"/>
  <c r="F47" i="1"/>
  <c r="D53" i="1"/>
  <c r="F53" i="1"/>
  <c r="D54" i="1"/>
  <c r="F54" i="1" s="1"/>
  <c r="J78" i="1"/>
  <c r="E80" i="1"/>
  <c r="J102" i="1"/>
  <c r="K102" i="1" s="1"/>
  <c r="G40" i="5" s="1"/>
  <c r="D103" i="1"/>
  <c r="J18" i="1"/>
  <c r="F55" i="1" l="1"/>
  <c r="J39" i="5" s="1"/>
  <c r="L39" i="5" s="1"/>
  <c r="L37" i="5"/>
  <c r="L38" i="5"/>
  <c r="I111" i="1"/>
  <c r="I112" i="1" s="1"/>
  <c r="D113" i="1" s="1"/>
  <c r="D126" i="1" s="1"/>
  <c r="F12" i="1" s="1"/>
  <c r="B36" i="7" s="1"/>
  <c r="M16" i="1"/>
  <c r="M17" i="1" s="1"/>
  <c r="F13" i="1" s="1"/>
  <c r="D43" i="1"/>
  <c r="K45" i="1" s="1"/>
  <c r="Q43" i="1"/>
  <c r="E55" i="1"/>
  <c r="E3" i="7"/>
  <c r="C55" i="4"/>
  <c r="F23" i="1"/>
  <c r="L31" i="1"/>
  <c r="O30" i="1" s="1"/>
  <c r="I21" i="1"/>
  <c r="F18" i="1"/>
  <c r="E103" i="1" s="1"/>
  <c r="D14" i="7"/>
  <c r="C15" i="7"/>
  <c r="C11" i="7" s="1"/>
  <c r="M30" i="7"/>
  <c r="D30" i="7"/>
  <c r="E66" i="7"/>
  <c r="G30" i="7"/>
  <c r="G66" i="7" s="1"/>
  <c r="J43" i="1"/>
  <c r="E40" i="1" s="1"/>
  <c r="J39" i="1"/>
  <c r="M42" i="7" l="1"/>
  <c r="N42" i="7" s="1"/>
  <c r="O42" i="7" s="1"/>
  <c r="F43" i="1"/>
  <c r="N65" i="1" s="1"/>
  <c r="B35" i="7"/>
  <c r="L40" i="7" s="1"/>
  <c r="L41" i="7" s="1"/>
  <c r="M40" i="7"/>
  <c r="M41" i="7" s="1"/>
  <c r="B37" i="7"/>
  <c r="B38" i="7" s="1"/>
  <c r="J59" i="7"/>
  <c r="C65" i="7"/>
  <c r="G40" i="7"/>
  <c r="F14" i="1"/>
  <c r="D36" i="1" s="1"/>
  <c r="M18" i="1"/>
  <c r="H86" i="1"/>
  <c r="H70" i="1"/>
  <c r="H72" i="1" s="1"/>
  <c r="J52" i="7" s="1"/>
  <c r="I24" i="1"/>
  <c r="E105" i="1"/>
  <c r="D4" i="7"/>
  <c r="J26" i="1"/>
  <c r="L23" i="1"/>
  <c r="C52" i="4"/>
  <c r="C61" i="4" s="1"/>
  <c r="F24" i="1"/>
  <c r="M11" i="1"/>
  <c r="J103" i="1"/>
  <c r="J11" i="1"/>
  <c r="K11" i="1" s="1"/>
  <c r="C14" i="4"/>
  <c r="D3" i="7"/>
  <c r="J22" i="1"/>
  <c r="J21" i="1"/>
  <c r="O31" i="1"/>
  <c r="F27" i="1"/>
  <c r="J58" i="7"/>
  <c r="E14" i="7"/>
  <c r="D15" i="7"/>
  <c r="C30" i="7"/>
  <c r="C66" i="7" s="1"/>
  <c r="D66" i="7"/>
  <c r="I36" i="1"/>
  <c r="J36" i="1" s="1"/>
  <c r="J40" i="1"/>
  <c r="F42" i="1"/>
  <c r="C10" i="7"/>
  <c r="J41" i="1"/>
  <c r="E42" i="1"/>
  <c r="C17" i="7" s="1"/>
  <c r="C19" i="4"/>
  <c r="L30" i="7"/>
  <c r="M31" i="7"/>
  <c r="N30" i="7"/>
  <c r="F15" i="1" l="1"/>
  <c r="D92" i="1" s="1"/>
  <c r="M43" i="7"/>
  <c r="J60" i="7"/>
  <c r="L42" i="7"/>
  <c r="K42" i="7" s="1"/>
  <c r="B34" i="7"/>
  <c r="N40" i="7"/>
  <c r="N41" i="7" s="1"/>
  <c r="N43" i="7" s="1"/>
  <c r="F16" i="1"/>
  <c r="F36" i="1" s="1"/>
  <c r="J35" i="5" s="1"/>
  <c r="L35" i="5" s="1"/>
  <c r="N47" i="1"/>
  <c r="N48" i="1" s="1"/>
  <c r="N50" i="1" s="1"/>
  <c r="E36" i="1"/>
  <c r="L26" i="1"/>
  <c r="L42" i="1" s="1"/>
  <c r="E4" i="7"/>
  <c r="F4" i="7" s="1"/>
  <c r="D40" i="1"/>
  <c r="K47" i="1" s="1"/>
  <c r="C54" i="4"/>
  <c r="C25" i="4"/>
  <c r="N11" i="1"/>
  <c r="J120" i="1"/>
  <c r="J121" i="1"/>
  <c r="J104" i="1"/>
  <c r="K104" i="1" s="1"/>
  <c r="G42" i="5" s="1"/>
  <c r="K103" i="1"/>
  <c r="G41" i="5" s="1"/>
  <c r="J24" i="1"/>
  <c r="J25" i="1"/>
  <c r="D42" i="1" s="1"/>
  <c r="O63" i="1"/>
  <c r="O65" i="1" s="1"/>
  <c r="J61" i="7"/>
  <c r="O40" i="7"/>
  <c r="O41" i="7" s="1"/>
  <c r="O43" i="7" s="1"/>
  <c r="J57" i="7"/>
  <c r="K40" i="7"/>
  <c r="K41" i="7" s="1"/>
  <c r="N31" i="7"/>
  <c r="N32" i="7" s="1"/>
  <c r="O30" i="7"/>
  <c r="O31" i="7" s="1"/>
  <c r="D11" i="7"/>
  <c r="E11" i="7" s="1"/>
  <c r="E15" i="7"/>
  <c r="K30" i="7"/>
  <c r="K31" i="7" s="1"/>
  <c r="K32" i="7" s="1"/>
  <c r="L31" i="7"/>
  <c r="D10" i="7"/>
  <c r="C12" i="7"/>
  <c r="J7" i="7"/>
  <c r="Q44" i="1"/>
  <c r="J36" i="5"/>
  <c r="N63" i="1"/>
  <c r="N64" i="1"/>
  <c r="N39" i="1"/>
  <c r="K43" i="7" l="1"/>
  <c r="L43" i="7"/>
  <c r="Q47" i="1"/>
  <c r="F48" i="1"/>
  <c r="F57" i="1" s="1"/>
  <c r="L32" i="7"/>
  <c r="O32" i="7"/>
  <c r="Q52" i="1"/>
  <c r="Q54" i="1" s="1"/>
  <c r="C16" i="4"/>
  <c r="M47" i="1"/>
  <c r="L47" i="1" s="1"/>
  <c r="M32" i="7"/>
  <c r="E24" i="1"/>
  <c r="C56" i="4"/>
  <c r="J122" i="1"/>
  <c r="E113" i="1" s="1"/>
  <c r="E126" i="1" s="1"/>
  <c r="F25" i="1" s="1"/>
  <c r="Q39" i="1"/>
  <c r="N40" i="1"/>
  <c r="N41" i="1" s="1"/>
  <c r="N58" i="1" s="1"/>
  <c r="M39" i="1"/>
  <c r="L36" i="5"/>
  <c r="K7" i="7"/>
  <c r="L7" i="7" s="1"/>
  <c r="I22" i="7" s="1"/>
  <c r="D12" i="7"/>
  <c r="E10" i="7"/>
  <c r="D17" i="7"/>
  <c r="E17" i="7" s="1"/>
  <c r="F17" i="7" s="1"/>
  <c r="O64" i="1"/>
  <c r="N66" i="1"/>
  <c r="O70" i="1" s="1"/>
  <c r="C23" i="4" s="1"/>
  <c r="C20" i="4"/>
  <c r="F50" i="1" l="1"/>
  <c r="E48" i="1"/>
  <c r="Q48" i="1"/>
  <c r="F26" i="1"/>
  <c r="F29" i="1" s="1"/>
  <c r="K48" i="7" s="1"/>
  <c r="M48" i="7" s="1"/>
  <c r="J86" i="1"/>
  <c r="D57" i="1"/>
  <c r="D88" i="1"/>
  <c r="J82" i="1"/>
  <c r="E57" i="1"/>
  <c r="I23" i="7"/>
  <c r="K27" i="7" s="1"/>
  <c r="N56" i="1"/>
  <c r="N59" i="1" s="1"/>
  <c r="N43" i="1"/>
  <c r="I26" i="7"/>
  <c r="M56" i="1"/>
  <c r="L39" i="1"/>
  <c r="L55" i="1" s="1"/>
  <c r="M59" i="1"/>
  <c r="K36" i="7"/>
  <c r="N48" i="7" l="1"/>
  <c r="O48" i="7" s="1"/>
  <c r="L48" i="7"/>
  <c r="F78" i="1"/>
  <c r="F80" i="1" s="1"/>
  <c r="C47" i="4" s="1"/>
  <c r="F31" i="1"/>
  <c r="O44" i="7"/>
  <c r="O45" i="7" s="1"/>
  <c r="M44" i="7"/>
  <c r="L44" i="7"/>
  <c r="L45" i="7" s="1"/>
  <c r="M47" i="7"/>
  <c r="N44" i="7"/>
  <c r="N45" i="7" s="1"/>
  <c r="K44" i="7"/>
  <c r="K45" i="7" s="1"/>
  <c r="M33" i="7"/>
  <c r="M34" i="7" s="1"/>
  <c r="K33" i="7"/>
  <c r="K34" i="7" s="1"/>
  <c r="N33" i="7"/>
  <c r="N34" i="7" s="1"/>
  <c r="L33" i="7"/>
  <c r="L34" i="7" s="1"/>
  <c r="O33" i="7"/>
  <c r="O34" i="7" s="1"/>
  <c r="C22" i="4"/>
  <c r="F60" i="1"/>
  <c r="I60" i="1" s="1"/>
  <c r="J60" i="1" s="1"/>
  <c r="L59" i="1"/>
  <c r="N52" i="1"/>
  <c r="I28" i="7" s="1"/>
  <c r="N44" i="1"/>
  <c r="I27" i="7"/>
  <c r="K37" i="7"/>
  <c r="O36" i="7"/>
  <c r="O37" i="7" s="1"/>
  <c r="L36" i="7"/>
  <c r="L37" i="7" s="1"/>
  <c r="M36" i="7"/>
  <c r="M37" i="7" s="1"/>
  <c r="N36" i="7"/>
  <c r="N37" i="7" s="1"/>
  <c r="C46" i="4" l="1"/>
  <c r="F33" i="1"/>
  <c r="E33" i="1" s="1"/>
  <c r="F32" i="1"/>
  <c r="N54" i="1"/>
  <c r="F61" i="1" s="1"/>
  <c r="J10" i="7" s="1"/>
  <c r="I29" i="7"/>
  <c r="K10" i="7" s="1"/>
  <c r="L38" i="7"/>
  <c r="P54" i="7"/>
  <c r="M45" i="7"/>
  <c r="N38" i="7"/>
  <c r="K38" i="7"/>
  <c r="N47" i="7"/>
  <c r="L47" i="7"/>
  <c r="M49" i="7"/>
  <c r="O38" i="7"/>
  <c r="M38" i="7"/>
  <c r="R54" i="7" l="1"/>
  <c r="E61" i="1"/>
  <c r="E84" i="1"/>
  <c r="D84" i="1" s="1"/>
  <c r="L44" i="5" s="1"/>
  <c r="L10" i="7"/>
  <c r="F63" i="1"/>
  <c r="G61" i="1" s="1"/>
  <c r="J40" i="5"/>
  <c r="L40" i="5" s="1"/>
  <c r="L41" i="5" s="1"/>
  <c r="J105" i="1"/>
  <c r="J98" i="1" s="1"/>
  <c r="D97" i="1" s="1"/>
  <c r="D86" i="1"/>
  <c r="D91" i="1"/>
  <c r="D93" i="1" s="1"/>
  <c r="C18" i="4" s="1"/>
  <c r="J97" i="1"/>
  <c r="D96" i="1" s="1"/>
  <c r="C32" i="4"/>
  <c r="C17" i="4"/>
  <c r="F65" i="1"/>
  <c r="J81" i="1" s="1"/>
  <c r="J79" i="1" s="1"/>
  <c r="F68" i="1" s="1"/>
  <c r="M51" i="7"/>
  <c r="M53" i="7" s="1"/>
  <c r="C19" i="7"/>
  <c r="S54" i="7"/>
  <c r="K47" i="7"/>
  <c r="K49" i="7" s="1"/>
  <c r="K51" i="7" s="1"/>
  <c r="K53" i="7" s="1"/>
  <c r="L49" i="7"/>
  <c r="M56" i="7"/>
  <c r="N49" i="7"/>
  <c r="N51" i="7" s="1"/>
  <c r="N53" i="7" s="1"/>
  <c r="O47" i="7"/>
  <c r="O49" i="7" s="1"/>
  <c r="O51" i="7" s="1"/>
  <c r="O53" i="7" s="1"/>
  <c r="G47" i="1"/>
  <c r="F74" i="1" l="1"/>
  <c r="J19" i="7"/>
  <c r="F84" i="1"/>
  <c r="F70" i="1"/>
  <c r="C35" i="4" s="1"/>
  <c r="G57" i="1"/>
  <c r="G36" i="1"/>
  <c r="G63" i="1"/>
  <c r="G48" i="1"/>
  <c r="G45" i="1"/>
  <c r="G55" i="1"/>
  <c r="D89" i="1"/>
  <c r="G42" i="1"/>
  <c r="M52" i="7"/>
  <c r="G44" i="1"/>
  <c r="G43" i="1"/>
  <c r="J41" i="5"/>
  <c r="K40" i="5" s="1"/>
  <c r="L43" i="1"/>
  <c r="C21" i="4" s="1"/>
  <c r="C26" i="4"/>
  <c r="C24" i="4" s="1"/>
  <c r="G50" i="1"/>
  <c r="J16" i="7"/>
  <c r="J17" i="7" s="1"/>
  <c r="C21" i="7" s="1"/>
  <c r="E63" i="1"/>
  <c r="G46" i="1"/>
  <c r="D63" i="1"/>
  <c r="C30" i="4" s="1"/>
  <c r="J87" i="1"/>
  <c r="J99" i="1"/>
  <c r="F67" i="1"/>
  <c r="C33" i="4" s="1"/>
  <c r="G65" i="1"/>
  <c r="D98" i="1"/>
  <c r="C40" i="4" s="1"/>
  <c r="C28" i="4"/>
  <c r="E86" i="1"/>
  <c r="J14" i="7"/>
  <c r="K14" i="7" s="1"/>
  <c r="L14" i="7" s="1"/>
  <c r="E65" i="1"/>
  <c r="D65" i="1"/>
  <c r="F34" i="5"/>
  <c r="C38" i="4"/>
  <c r="L51" i="7"/>
  <c r="L53" i="7" s="1"/>
  <c r="L56" i="7"/>
  <c r="M59" i="7"/>
  <c r="E36" i="7" s="1"/>
  <c r="E67" i="7" s="1"/>
  <c r="M60" i="7"/>
  <c r="E37" i="7" s="1"/>
  <c r="M61" i="7"/>
  <c r="E38" i="7" s="1"/>
  <c r="M57" i="7"/>
  <c r="E34" i="7" s="1"/>
  <c r="M58" i="7"/>
  <c r="E35" i="7" s="1"/>
  <c r="N56" i="7"/>
  <c r="K56" i="7"/>
  <c r="C42" i="4"/>
  <c r="C43" i="4" s="1"/>
  <c r="H13" i="1"/>
  <c r="F35" i="5"/>
  <c r="C39" i="4"/>
  <c r="O56" i="7"/>
  <c r="F72" i="1" l="1"/>
  <c r="C36" i="4" s="1"/>
  <c r="K39" i="5"/>
  <c r="K38" i="5"/>
  <c r="H12" i="1"/>
  <c r="F36" i="5"/>
  <c r="G124" i="1"/>
  <c r="K37" i="5"/>
  <c r="K16" i="7"/>
  <c r="D23" i="7" s="1"/>
  <c r="K36" i="5"/>
  <c r="K35" i="5"/>
  <c r="C23" i="7"/>
  <c r="L84" i="1"/>
  <c r="L58" i="7"/>
  <c r="D35" i="7" s="1"/>
  <c r="L61" i="7"/>
  <c r="D38" i="7" s="1"/>
  <c r="L59" i="7"/>
  <c r="D36" i="7" s="1"/>
  <c r="D67" i="7" s="1"/>
  <c r="L57" i="7"/>
  <c r="D34" i="7" s="1"/>
  <c r="L60" i="7"/>
  <c r="D37" i="7" s="1"/>
  <c r="O57" i="7"/>
  <c r="G34" i="7" s="1"/>
  <c r="O58" i="7"/>
  <c r="G35" i="7" s="1"/>
  <c r="O60" i="7"/>
  <c r="G37" i="7" s="1"/>
  <c r="O59" i="7"/>
  <c r="G36" i="7" s="1"/>
  <c r="G67" i="7" s="1"/>
  <c r="O61" i="7"/>
  <c r="G38" i="7" s="1"/>
  <c r="K61" i="7"/>
  <c r="C38" i="7" s="1"/>
  <c r="K58" i="7"/>
  <c r="C35" i="7" s="1"/>
  <c r="K59" i="7"/>
  <c r="C36" i="7" s="1"/>
  <c r="C67" i="7" s="1"/>
  <c r="K57" i="7"/>
  <c r="C34" i="7" s="1"/>
  <c r="K60" i="7"/>
  <c r="C37" i="7" s="1"/>
  <c r="N60" i="7"/>
  <c r="F37" i="7" s="1"/>
  <c r="N59" i="7"/>
  <c r="F36" i="7" s="1"/>
  <c r="F67" i="7" s="1"/>
  <c r="N58" i="7"/>
  <c r="F35" i="7" s="1"/>
  <c r="N61" i="7"/>
  <c r="F38" i="7" s="1"/>
  <c r="N57" i="7"/>
  <c r="F34" i="7" s="1"/>
  <c r="K17" i="7" l="1"/>
  <c r="L17" i="7" s="1"/>
  <c r="L16" i="7"/>
  <c r="K19" i="7"/>
  <c r="L19" i="7" s="1"/>
  <c r="E23" i="7"/>
  <c r="F23" i="7" s="1"/>
  <c r="D21" i="7" l="1"/>
  <c r="E21" i="7" s="1"/>
  <c r="F21" i="7" s="1"/>
  <c r="D19" i="7"/>
  <c r="E19" i="7" s="1"/>
  <c r="F1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L8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If ROA/ROE is positive and greater than 1 then debt cost is less than return and use is favorable.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Divided by cattle marketed to  adjust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<sst xmlns="http://schemas.openxmlformats.org/spreadsheetml/2006/main" count="489" uniqueCount="368">
  <si>
    <t>Date of Analysis</t>
  </si>
  <si>
    <t>Head</t>
  </si>
  <si>
    <t>Lb.</t>
  </si>
  <si>
    <t>%</t>
  </si>
  <si>
    <t>$/Cwt.</t>
  </si>
  <si>
    <t>% - $/Head</t>
  </si>
  <si>
    <t>$/Head</t>
  </si>
  <si>
    <t>Lb./Day</t>
  </si>
  <si>
    <t>Lb./Head</t>
  </si>
  <si>
    <t xml:space="preserve">                    Net Gain (Deads In)</t>
  </si>
  <si>
    <t>Total Sales Value (Based on Head Marketed)</t>
  </si>
  <si>
    <t>Total</t>
  </si>
  <si>
    <t>$/Hd.</t>
  </si>
  <si>
    <t>Lb. Of Gain</t>
  </si>
  <si>
    <t>Marketing Margin</t>
  </si>
  <si>
    <t>Feeding Margin</t>
  </si>
  <si>
    <t>Net Margin</t>
  </si>
  <si>
    <t xml:space="preserve">          Weight</t>
  </si>
  <si>
    <t>Dates</t>
  </si>
  <si>
    <t>Actual Weight Used In Slide Calculation</t>
  </si>
  <si>
    <t xml:space="preserve"> </t>
  </si>
  <si>
    <t>Cattle Price Slide Calculator-------------------</t>
  </si>
  <si>
    <t xml:space="preserve">  Tolerance Above Base Weight</t>
  </si>
  <si>
    <t xml:space="preserve">  Tolerance Below Base Weight</t>
  </si>
  <si>
    <t xml:space="preserve">  Price Slide </t>
  </si>
  <si>
    <t>Calculation of Discounts or Premium</t>
  </si>
  <si>
    <t>Price Slide Discount (-) or Premium (+)</t>
  </si>
  <si>
    <t>Heavy</t>
  </si>
  <si>
    <t>Light</t>
  </si>
  <si>
    <t>Slide Discount 0r Premium</t>
  </si>
  <si>
    <t xml:space="preserve">  Muscling </t>
  </si>
  <si>
    <t xml:space="preserve">  Frame</t>
  </si>
  <si>
    <t xml:space="preserve">  Fill</t>
  </si>
  <si>
    <t>Units/Hd</t>
  </si>
  <si>
    <t>Gain / Hd.</t>
  </si>
  <si>
    <t>Equity Investment</t>
  </si>
  <si>
    <t>Return on Equity %</t>
  </si>
  <si>
    <t>Percent Equity</t>
  </si>
  <si>
    <t xml:space="preserve">                      Marketing Margin</t>
  </si>
  <si>
    <t>ROE/ROA =</t>
  </si>
  <si>
    <t>Financial Performance</t>
  </si>
  <si>
    <t>Price Slide &amp; Other Premium or Discount Calculator</t>
  </si>
  <si>
    <t>$</t>
  </si>
  <si>
    <t>Economic*</t>
  </si>
  <si>
    <t>Total Interest</t>
  </si>
  <si>
    <t>% Borrowed</t>
  </si>
  <si>
    <t>Quality Discounts (-), Premiums (+)</t>
  </si>
  <si>
    <t>Total Quality Discounts (-), Premiums (+)</t>
  </si>
  <si>
    <t xml:space="preserve">  Base Weight for Calculating Slide</t>
  </si>
  <si>
    <t xml:space="preserve">  Base Price Before Adjusting for Weight Slide</t>
  </si>
  <si>
    <t xml:space="preserve">    $/ Day </t>
  </si>
  <si>
    <t>$/Ton</t>
  </si>
  <si>
    <t xml:space="preserve">                      Feeding Margin</t>
  </si>
  <si>
    <t>% - Head</t>
  </si>
  <si>
    <t xml:space="preserve">Annualized Return on Equity - ROE   </t>
  </si>
  <si>
    <t>Feed Conversion Ratio - As fed &amp; Dry Matter</t>
  </si>
  <si>
    <t>Rate of Rtn.</t>
  </si>
  <si>
    <t>Total Cattle</t>
  </si>
  <si>
    <t>Total Non feed</t>
  </si>
  <si>
    <t>Borrowed</t>
  </si>
  <si>
    <t>Equity</t>
  </si>
  <si>
    <t>Maximum Feeder Price</t>
  </si>
  <si>
    <t>Net Income</t>
  </si>
  <si>
    <t>Total Cattle Interest</t>
  </si>
  <si>
    <t>Total Equity</t>
  </si>
  <si>
    <t>Total Capital</t>
  </si>
  <si>
    <t>Economic Interest Cost - Rate of Return</t>
  </si>
  <si>
    <t>Feed &amp; Yardage</t>
  </si>
  <si>
    <t xml:space="preserve">  Tons of Feed Fed - DM</t>
  </si>
  <si>
    <t xml:space="preserve">   Feed Cost</t>
  </si>
  <si>
    <t xml:space="preserve">   Yardage</t>
  </si>
  <si>
    <t>Total Cost Feed &amp; Yardage</t>
  </si>
  <si>
    <t>Cost of Feed per Ton - As Fed and Dry Matter</t>
  </si>
  <si>
    <t>Feedyard</t>
  </si>
  <si>
    <t>Origin</t>
  </si>
  <si>
    <t>Number of Head</t>
  </si>
  <si>
    <t>Sex</t>
  </si>
  <si>
    <t>Feeder Frame</t>
  </si>
  <si>
    <t>Feeder Muscling</t>
  </si>
  <si>
    <t>In Date</t>
  </si>
  <si>
    <t>Feeder Cost or Value In $/Cwt.</t>
  </si>
  <si>
    <t>Net Payweight Sales Price $/Cwt.</t>
  </si>
  <si>
    <t>Feed &amp; Yardage Cost of Gain</t>
  </si>
  <si>
    <t>Feed &amp; Yardage % of Total Gain Cost</t>
  </si>
  <si>
    <t>Total Cost of Gain  $/Cwt.</t>
  </si>
  <si>
    <t>Marketing Margin - $/Head</t>
  </si>
  <si>
    <t>Feeding Margin - $/Head</t>
  </si>
  <si>
    <t>Net Margin or Income - $/Head</t>
  </si>
  <si>
    <t>Return on Investment ROI</t>
  </si>
  <si>
    <t>Out Weight</t>
  </si>
  <si>
    <t>Death + Culling Loss %</t>
  </si>
  <si>
    <t>Days on Feed - On Head Out</t>
  </si>
  <si>
    <t>Average Daily Gain</t>
  </si>
  <si>
    <t>Dry Matter Conversion</t>
  </si>
  <si>
    <t>Frame</t>
  </si>
  <si>
    <t xml:space="preserve">Starting Date </t>
  </si>
  <si>
    <t>No. of Cattle Started</t>
  </si>
  <si>
    <t>Description</t>
  </si>
  <si>
    <t>Net Payweight In</t>
  </si>
  <si>
    <t>Transportation to Feedyard</t>
  </si>
  <si>
    <t>Net Payweight Cost Per Head</t>
  </si>
  <si>
    <t>Net Payweight Cost Per Cwt.</t>
  </si>
  <si>
    <t>`</t>
  </si>
  <si>
    <t>Date Marketed</t>
  </si>
  <si>
    <t xml:space="preserve">Weight Before Shrink  </t>
  </si>
  <si>
    <t xml:space="preserve">Shrink When Sold </t>
  </si>
  <si>
    <t>Net Payweight</t>
  </si>
  <si>
    <t>Marketing Costs - Commissions</t>
  </si>
  <si>
    <t>Other Marketing Costs - Per Head Charges</t>
  </si>
  <si>
    <t>$/Mile - Miles</t>
  </si>
  <si>
    <t>Freight Calculation Cattle Out</t>
  </si>
  <si>
    <t>Cost per loaded mile</t>
  </si>
  <si>
    <t>Pounds load</t>
  </si>
  <si>
    <t>Total Per Load</t>
  </si>
  <si>
    <t>Total Per Head</t>
  </si>
  <si>
    <t>Number of Head  On Load</t>
  </si>
  <si>
    <t>Percent Death Loss &amp; Marketing (Net of Death Loss)</t>
  </si>
  <si>
    <t>Net Payweight Sales Revenue Per Head</t>
  </si>
  <si>
    <t>Net Payweight Sales Revenue Per Cwt.</t>
  </si>
  <si>
    <t>Total Marketing Cost</t>
  </si>
  <si>
    <t>Yardage Cost Per Day</t>
  </si>
  <si>
    <t>Futures/Options (+/-)</t>
  </si>
  <si>
    <t>Average Daily Gain  - Before Shrink</t>
  </si>
  <si>
    <t xml:space="preserve"> Wt./Head Out</t>
  </si>
  <si>
    <t>Gain / Hd. In</t>
  </si>
  <si>
    <t>DM Lb. Gain</t>
  </si>
  <si>
    <t xml:space="preserve">General and Administrative </t>
  </si>
  <si>
    <t xml:space="preserve">Management Cost </t>
  </si>
  <si>
    <t>Direct Cost</t>
  </si>
  <si>
    <t>Total Cost of Feeder Cattle In</t>
  </si>
  <si>
    <t>$/Cwt.  In</t>
  </si>
  <si>
    <t xml:space="preserve">Total Production Costs </t>
  </si>
  <si>
    <t>Financing Cost</t>
  </si>
  <si>
    <t>$/Head Out</t>
  </si>
  <si>
    <t>Non Feed Interest</t>
  </si>
  <si>
    <t>Cost of Gain Per Cwt. and Head</t>
  </si>
  <si>
    <t>Cost</t>
  </si>
  <si>
    <t>DM Fed</t>
  </si>
  <si>
    <t xml:space="preserve">  Heifer Sex Discount  (-)</t>
  </si>
  <si>
    <t xml:space="preserve">Annualized Return on Investment - ROI  </t>
  </si>
  <si>
    <t>Feeding Cost as Percent of Net Payweight Gain**</t>
  </si>
  <si>
    <t>Return to Equity = Net Income</t>
  </si>
  <si>
    <t>Net Sales Price</t>
  </si>
  <si>
    <t>Interest Rate</t>
  </si>
  <si>
    <t>Return to Assets = Net</t>
  </si>
  <si>
    <t>Feed and Yardage Cost of Net Payweight Gain**</t>
  </si>
  <si>
    <t xml:space="preserve">      Out Wt.</t>
  </si>
  <si>
    <t>Gross Out Weight Before Shrink  and Days Fed</t>
  </si>
  <si>
    <t>Lb./Hd &amp; Days</t>
  </si>
  <si>
    <t>______________________________________________________________________________________________________________________</t>
  </si>
  <si>
    <t>___________________________________________________________________________________________</t>
  </si>
  <si>
    <t>Annualized</t>
  </si>
  <si>
    <t>Total Investment</t>
  </si>
  <si>
    <t>Summary Margin Analysis</t>
  </si>
  <si>
    <t>Total Purchase  In</t>
  </si>
  <si>
    <t>Total Sales Based on Head Outs - Finished Cattle</t>
  </si>
  <si>
    <t>Total Gain Based on Head Outs</t>
  </si>
  <si>
    <t>Cost Summary</t>
  </si>
  <si>
    <t>Feeder Cattle</t>
  </si>
  <si>
    <t>G&amp;A</t>
  </si>
  <si>
    <t>Total Unit Cost</t>
  </si>
  <si>
    <t>$/Hd/ Out</t>
  </si>
  <si>
    <t>Wt./Head `</t>
  </si>
  <si>
    <t>Interest</t>
  </si>
  <si>
    <t>Other</t>
  </si>
  <si>
    <t xml:space="preserve">% of Costs </t>
  </si>
  <si>
    <t>Tons</t>
  </si>
  <si>
    <t xml:space="preserve">   Percent Borrowed and Cost of Capital</t>
  </si>
  <si>
    <t>Projected Finance Cost</t>
  </si>
  <si>
    <t>Total Annualized</t>
  </si>
  <si>
    <t>Investment</t>
  </si>
  <si>
    <t>Financial Rate</t>
  </si>
  <si>
    <t>Cash Flow Required</t>
  </si>
  <si>
    <t>Total Cost Per Ton of Feed &amp; Yardage</t>
  </si>
  <si>
    <t xml:space="preserve">     Amount</t>
  </si>
  <si>
    <t>Total Cash Borrowed</t>
  </si>
  <si>
    <t xml:space="preserve">   Annualized</t>
  </si>
  <si>
    <t>Financial Interest Cost Adj for % Borrowed</t>
  </si>
  <si>
    <t>__________________________________________________________________________________________</t>
  </si>
  <si>
    <t xml:space="preserve">Investment </t>
  </si>
  <si>
    <t xml:space="preserve">   Per Head</t>
  </si>
  <si>
    <t>Total Unit Costs (TUC)</t>
  </si>
  <si>
    <t>Value of Gain</t>
  </si>
  <si>
    <t>Total Direct Cost**</t>
  </si>
  <si>
    <t xml:space="preserve">    but does not include interest, G &amp; A or management included in total unit cost (TUC).</t>
  </si>
  <si>
    <t xml:space="preserve">*This is the traditional reported cost of feedyard including feed, yardage, processing, health and other direct feedyard expensed </t>
  </si>
  <si>
    <t>**Due to rounding error there will be a slight error in the value calculated.</t>
  </si>
  <si>
    <t>***Economic costs include an opportunity cost for capital invested in total production costs.</t>
  </si>
  <si>
    <t xml:space="preserve">Net Payweight Cost </t>
  </si>
  <si>
    <t>Margins</t>
  </si>
  <si>
    <t xml:space="preserve">       Yield %</t>
  </si>
  <si>
    <t xml:space="preserve">      Yield %</t>
  </si>
  <si>
    <t xml:space="preserve">                      Net Margin (or Net Income)</t>
  </si>
  <si>
    <t>Gross Gain &amp; ADG</t>
  </si>
  <si>
    <t>Gain / Hd. Out</t>
  </si>
  <si>
    <t>Freight to Packer</t>
  </si>
  <si>
    <t>Economic Cost - With Opportunity Cost on Investment***</t>
  </si>
  <si>
    <t>Opportunity Cost Interest Rate or Target Rate of Return</t>
  </si>
  <si>
    <t>Financial Cost</t>
  </si>
  <si>
    <t>Leverage Index</t>
  </si>
  <si>
    <t>Price Roll Back</t>
  </si>
  <si>
    <t>Total Cost of Feeder Cattle - Head In</t>
  </si>
  <si>
    <t>$/Hd. In</t>
  </si>
  <si>
    <t>$/Unit</t>
  </si>
  <si>
    <t>Total Sales</t>
  </si>
  <si>
    <t>$/Cwt. Out</t>
  </si>
  <si>
    <t>Value of Gain $/Cwt.</t>
  </si>
  <si>
    <t>Net Sales</t>
  </si>
  <si>
    <t>Percent of Breed</t>
  </si>
  <si>
    <t>Calculated Economic Measures</t>
  </si>
  <si>
    <t>Feeder Price to Finish Roll Back $/Cwt.</t>
  </si>
  <si>
    <t>Production Measures Calculated</t>
  </si>
  <si>
    <t>Feeder In Payweight - Lb./Head</t>
  </si>
  <si>
    <t>Net Payweight Gain On Head Out</t>
  </si>
  <si>
    <t>Breed</t>
  </si>
  <si>
    <t>Projected Cattle Performance Data and Calculated Values</t>
  </si>
  <si>
    <t xml:space="preserve">Net Weight/Day </t>
  </si>
  <si>
    <t>Custom Cattle Finishing Projection Analysis</t>
  </si>
  <si>
    <t>Days on Feed</t>
  </si>
  <si>
    <t>Sales Date</t>
  </si>
  <si>
    <t>Price That Can Be Paid for Feeder Cover TUC</t>
  </si>
  <si>
    <t>$/Ton DM</t>
  </si>
  <si>
    <t>Corn DM</t>
  </si>
  <si>
    <t xml:space="preserve"> Corn Price $/Cwt.</t>
  </si>
  <si>
    <t>Base Value</t>
  </si>
  <si>
    <t>With Change</t>
  </si>
  <si>
    <t>Feed Cost of Gain</t>
  </si>
  <si>
    <t>Return On Investment</t>
  </si>
  <si>
    <t>Base</t>
  </si>
  <si>
    <t>Feed Cost</t>
  </si>
  <si>
    <t>Finance Cost</t>
  </si>
  <si>
    <t>Non Cattle</t>
  </si>
  <si>
    <t>Total Unit Cost - Cwt.</t>
  </si>
  <si>
    <t>Total Unit Cost of Gain- Cwt.</t>
  </si>
  <si>
    <t xml:space="preserve">   Change</t>
  </si>
  <si>
    <t>Sensitive Analysis of Feed Cost</t>
  </si>
  <si>
    <t>Net Gain</t>
  </si>
  <si>
    <t>Mark up for Ration</t>
  </si>
  <si>
    <t>Change In Feed Cost  % +/-</t>
  </si>
  <si>
    <t>*If corn is priced at cost of ration.</t>
  </si>
  <si>
    <t>Lot Number</t>
  </si>
  <si>
    <t xml:space="preserve">Processing, Vet and Medicine </t>
  </si>
  <si>
    <t>Insurance and Misc.</t>
  </si>
  <si>
    <t>Processing Vet. Med Cost of Gain</t>
  </si>
  <si>
    <t>Total Unit Cost -TUC</t>
  </si>
  <si>
    <t>Total Unit Cost of Gain -Cwt.</t>
  </si>
  <si>
    <t>Feed Cost Based on Net Gain - Head Out</t>
  </si>
  <si>
    <t>Feed and Other Non-Cattle Direct Cost</t>
  </si>
  <si>
    <t>Out Date</t>
  </si>
  <si>
    <t>Payweight to Payweight - Hd. Out</t>
  </si>
  <si>
    <t>Difference</t>
  </si>
  <si>
    <t>Market Basis Adjustment If Applicable (+/-)</t>
  </si>
  <si>
    <t xml:space="preserve">    % of TUC</t>
  </si>
  <si>
    <t>Cost of Gain $/Cwt. (Total Unit Cost - Cost of Feeder)  $/Cwt.</t>
  </si>
  <si>
    <t>Feed Cost as % of Cost of Gain</t>
  </si>
  <si>
    <t>% Change</t>
  </si>
  <si>
    <t>Corn Price -DM Ton</t>
  </si>
  <si>
    <t>Ration/Corn Ratio</t>
  </si>
  <si>
    <t>Ration $/Cwt. DM*</t>
  </si>
  <si>
    <t>$/BU. Corn As Fed*</t>
  </si>
  <si>
    <t>Corn Price Bu.-As Fed**</t>
  </si>
  <si>
    <t>**Feed should be average for feeding period or starting date.</t>
  </si>
  <si>
    <t xml:space="preserve">Net Payweight ADG and Net Gain </t>
  </si>
  <si>
    <t xml:space="preserve">Lb./Day &amp; Head </t>
  </si>
  <si>
    <t>Miles Shipped</t>
  </si>
  <si>
    <t xml:space="preserve">Gross Cattle Cost (Price) After Discount or Premium </t>
  </si>
  <si>
    <r>
      <t>Gross Payweight Cost In-</t>
    </r>
    <r>
      <rPr>
        <b/>
        <sz val="12"/>
        <rFont val="Arial"/>
        <family val="2"/>
      </rPr>
      <t xml:space="preserve"> See Price Slide Below</t>
    </r>
  </si>
  <si>
    <r>
      <t xml:space="preserve">Gross Payweight Price Out- </t>
    </r>
    <r>
      <rPr>
        <b/>
        <sz val="12"/>
        <rFont val="Arial"/>
        <family val="2"/>
      </rPr>
      <t>See Price Slide Below</t>
    </r>
  </si>
  <si>
    <t>Yield</t>
  </si>
  <si>
    <t>Carcass Weight - Hot Wt.</t>
  </si>
  <si>
    <t>Carcass Projection</t>
  </si>
  <si>
    <t xml:space="preserve">         ADG</t>
  </si>
  <si>
    <t>Process,Vet Med.</t>
  </si>
  <si>
    <r>
      <t xml:space="preserve">Necessary Live Price 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to Cover TUC &amp; Marketing Cost</t>
    </r>
  </si>
  <si>
    <t xml:space="preserve">Necessary Carcass Price to Cover TUC &amp; Marketing Cost </t>
  </si>
  <si>
    <r>
      <t xml:space="preserve">Necessary Carcass Price </t>
    </r>
    <r>
      <rPr>
        <b/>
        <sz val="10"/>
        <rFont val="Arial"/>
        <family val="2"/>
      </rPr>
      <t>to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Cover, Marketing, TUC &amp; Cap. Opp. Cost </t>
    </r>
  </si>
  <si>
    <t>Necessary Live Price to Cover, Marketing, TUC &amp; Capital Opp. Cost            %</t>
  </si>
  <si>
    <t>Price That Can Be Paid for Feeder Cover TUC &amp; Marketing**</t>
  </si>
  <si>
    <t>Does not include freight and other finished cattle marketing cost</t>
  </si>
  <si>
    <r>
      <t>Necessary Carcass Price to Cover TUC &amp; Marketing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Cost</t>
    </r>
  </si>
  <si>
    <t xml:space="preserve"> Ration DM Cost per Ton</t>
  </si>
  <si>
    <t xml:space="preserve"> Corn Price $/Ton As Fed</t>
  </si>
  <si>
    <t xml:space="preserve"> Corn Price $/BU </t>
  </si>
  <si>
    <t>Ratio of Ration Cost to Corn</t>
  </si>
  <si>
    <t>Necessary Carcass Price for Target ROI*</t>
  </si>
  <si>
    <t>*Cover marketing, total unit cost (TUC) and return to capital.</t>
  </si>
  <si>
    <t>Economic Cost Opportunity Cost or Target Return</t>
  </si>
  <si>
    <t>Feed Cost Per Ton of DM Fed</t>
  </si>
  <si>
    <t>Feed &amp; Yardage Cost per Ton of DM Fed</t>
  </si>
  <si>
    <t>Other Feedyard SICK PEN</t>
  </si>
  <si>
    <t>Corn Price $/Bu.</t>
  </si>
  <si>
    <t>Sid Ration Calculation</t>
  </si>
  <si>
    <t>Necessary Live Price  to Cover TUC &amp; Marketing Cost</t>
  </si>
  <si>
    <t>Steers</t>
  </si>
  <si>
    <t>Feeder Price of Change in Price</t>
  </si>
  <si>
    <t>Corn Price change - $/Bushel</t>
  </si>
  <si>
    <t xml:space="preserve">                        Feeder Cost $/Cwt.</t>
  </si>
  <si>
    <t>Corn Price per Bushel</t>
  </si>
  <si>
    <t>Corn Price per Bushel Cost of Feed + Interest</t>
  </si>
  <si>
    <t>Ration Cost</t>
  </si>
  <si>
    <t>Total Feed Cost</t>
  </si>
  <si>
    <t>Non Feed &amp;Cattle</t>
  </si>
  <si>
    <t>Interest Cost</t>
  </si>
  <si>
    <t>Total Feed &amp; Non</t>
  </si>
  <si>
    <t>Cattle Cost $/Cwt.</t>
  </si>
  <si>
    <t>Freight</t>
  </si>
  <si>
    <t>Total Cost</t>
  </si>
  <si>
    <t>Total Feeder Cost</t>
  </si>
  <si>
    <t>Feeder Cost</t>
  </si>
  <si>
    <t>TUC</t>
  </si>
  <si>
    <t>TUC/Cwt. Out</t>
  </si>
  <si>
    <t>Net Payweight Out</t>
  </si>
  <si>
    <t>Divisor</t>
  </si>
  <si>
    <t>Freight Out</t>
  </si>
  <si>
    <t>Other Costs</t>
  </si>
  <si>
    <t xml:space="preserve">All Non Cattle Cost </t>
  </si>
  <si>
    <t xml:space="preserve">*This is the necessary payweight out sales price to cover all costs including interest, G&amp;A and marketing cost, </t>
  </si>
  <si>
    <t>Total Unit Cost of Production + Marketing Cost (TUC) $/Cwt. *</t>
  </si>
  <si>
    <t>Total Unit Cost (TUC) - Cwt.**</t>
  </si>
  <si>
    <t>**This include out marketing costs.</t>
  </si>
  <si>
    <t>Sensitive Analysis of Corn and Feeder Price and TUC + Marketing Cost</t>
  </si>
  <si>
    <t xml:space="preserve">    Total Production - Cwt. divisor</t>
  </si>
  <si>
    <t>L</t>
  </si>
  <si>
    <t>Prior Management 1. Bawling calf 2. Pre-conditioned Calf, 3. Weaned calf grazed, 4. Weaned calf from dry lot or grow yard 5. Yearling</t>
  </si>
  <si>
    <t>Muscle</t>
  </si>
  <si>
    <r>
      <t xml:space="preserve">Prior Management (1 to 5) </t>
    </r>
    <r>
      <rPr>
        <sz val="8"/>
        <rFont val="Arial"/>
        <family val="2"/>
      </rPr>
      <t>See options on right</t>
    </r>
  </si>
  <si>
    <t>Prior Management</t>
  </si>
  <si>
    <t>Feeder In Date</t>
  </si>
  <si>
    <r>
      <t xml:space="preserve">Net Payweight Sales Price $/Cwt. </t>
    </r>
    <r>
      <rPr>
        <b/>
        <sz val="10"/>
        <rFont val="Arial"/>
        <family val="2"/>
      </rPr>
      <t>(Net of marketing costs)</t>
    </r>
  </si>
  <si>
    <t>Net of marketing costs.</t>
  </si>
  <si>
    <t>Includes marketing costs.</t>
  </si>
  <si>
    <t>Over Payment for Feeder $/Cwt.</t>
  </si>
  <si>
    <t>Net</t>
  </si>
  <si>
    <t>Corn $/Bu.</t>
  </si>
  <si>
    <t xml:space="preserve">Necessary Live Price to Cover TUC &amp; Marketing Cost </t>
  </si>
  <si>
    <t>Finished Out Payweight - Lb./Head</t>
  </si>
  <si>
    <t>Base price</t>
  </si>
  <si>
    <t xml:space="preserve">  Version</t>
  </si>
  <si>
    <t>Commodity</t>
  </si>
  <si>
    <t>&lt;---------</t>
  </si>
  <si>
    <t>Full cost breakeven</t>
  </si>
  <si>
    <t>Return to capital</t>
  </si>
  <si>
    <t>Base Feeder Price*</t>
  </si>
  <si>
    <t>Alternative With Yardage</t>
  </si>
  <si>
    <t xml:space="preserve"> Yardage</t>
  </si>
  <si>
    <t>Ration based on Corn</t>
  </si>
  <si>
    <t>Yardage</t>
  </si>
  <si>
    <t xml:space="preserve">Other Cost  or  Premium </t>
  </si>
  <si>
    <t>Error</t>
  </si>
  <si>
    <t>Ration Interest</t>
  </si>
  <si>
    <t xml:space="preserve">Rounding </t>
  </si>
  <si>
    <t>General Administrative Cost (G&amp;A) &amp; Management</t>
  </si>
  <si>
    <t xml:space="preserve">Birth Weight </t>
  </si>
  <si>
    <t>Birth  Date</t>
  </si>
  <si>
    <t>Days of Age</t>
  </si>
  <si>
    <t xml:space="preserve">Pricing based on estimated feeder price </t>
  </si>
  <si>
    <t>Death Loss Adjusted</t>
  </si>
  <si>
    <t>Cost of Gain</t>
  </si>
  <si>
    <t>Feedyard Name</t>
  </si>
  <si>
    <t>Lb./Lb. Gain of Net Gain</t>
  </si>
  <si>
    <t>Cattle Origin</t>
  </si>
  <si>
    <t>TX</t>
  </si>
  <si>
    <t>Corn $/Cwt.</t>
  </si>
  <si>
    <t>COG</t>
  </si>
  <si>
    <t>Angus</t>
  </si>
  <si>
    <t>Futures Market Feb,</t>
  </si>
  <si>
    <t>Angus yearling exanple</t>
  </si>
  <si>
    <t>User must use their current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</si>
</sst>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dd\-mmm\-yy_)"/>
    <numFmt numFmtId="166" formatCode="0_)"/>
    <numFmt numFmtId="167" formatCode="0.0"/>
    <numFmt numFmtId="168" formatCode="&quot;$&quot;#,##0.00"/>
    <numFmt numFmtId="169" formatCode="0.0_)"/>
    <numFmt numFmtId="170" formatCode="&quot;$&quot;#,##0"/>
    <numFmt numFmtId="171" formatCode="[$$-409]#,##0.00_);\([$$-409]#,##0.00\)"/>
    <numFmt numFmtId="172" formatCode="[$$-409]#,##0.00_);[Red]\([$$-409]#,##0.00\)"/>
    <numFmt numFmtId="173" formatCode="[$$-409]#,##0.00"/>
    <numFmt numFmtId="174" formatCode="0.000"/>
    <numFmt numFmtId="175" formatCode="_(* #,##0_);_(* \(#,##0\);_(* &quot;-&quot;??_);_(@_)"/>
    <numFmt numFmtId="176" formatCode="[$$-409]#,##0"/>
    <numFmt numFmtId="177" formatCode="&quot;$&quot;#,##0.0000_);\(&quot;$&quot;#,##0.0000\)"/>
    <numFmt numFmtId="178" formatCode="0.0_);\(0.0\)"/>
    <numFmt numFmtId="179" formatCode="0_);\(0\)"/>
    <numFmt numFmtId="180" formatCode="0.00_);\(0.00\)"/>
    <numFmt numFmtId="181" formatCode="[$$-409]#,##0_);[Red]\([$$-409]#,##0\)"/>
    <numFmt numFmtId="182" formatCode="_(&quot;$&quot;* #,##0_);_(&quot;$&quot;* \(#,##0\);_(&quot;$&quot;* &quot;-&quot;??_);_(@_)"/>
    <numFmt numFmtId="183" formatCode="[$-409]d\-mmm\-yy;@"/>
    <numFmt numFmtId="184" formatCode="0.0%"/>
    <numFmt numFmtId="185" formatCode="[$$-409]#,##0.000_);\([$$-409]#,##0.000\)"/>
  </numFmts>
  <fonts count="3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17"/>
      <name val="Arial"/>
      <family val="2"/>
    </font>
    <font>
      <sz val="11"/>
      <color indexed="1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2"/>
      <color indexed="3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2"/>
      <color indexed="30"/>
      <name val="Arial"/>
      <family val="2"/>
    </font>
    <font>
      <sz val="10"/>
      <color indexed="30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166" fontId="6" fillId="0" borderId="0" xfId="0" applyNumberFormat="1" applyFont="1" applyProtection="1"/>
    <xf numFmtId="7" fontId="0" fillId="0" borderId="0" xfId="0" applyNumberFormat="1" applyProtection="1"/>
    <xf numFmtId="3" fontId="0" fillId="0" borderId="0" xfId="0" applyNumberFormat="1"/>
    <xf numFmtId="168" fontId="6" fillId="0" borderId="0" xfId="0" applyNumberFormat="1" applyFont="1"/>
    <xf numFmtId="0" fontId="2" fillId="0" borderId="0" xfId="0" applyFont="1" applyAlignment="1">
      <alignment horizontal="center"/>
    </xf>
    <xf numFmtId="5" fontId="2" fillId="0" borderId="0" xfId="0" applyNumberFormat="1" applyFont="1" applyProtection="1"/>
    <xf numFmtId="0" fontId="5" fillId="0" borderId="0" xfId="0" applyFont="1"/>
    <xf numFmtId="169" fontId="4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66" fontId="4" fillId="2" borderId="1" xfId="0" applyNumberFormat="1" applyFont="1" applyFill="1" applyBorder="1" applyProtection="1">
      <protection locked="0"/>
    </xf>
    <xf numFmtId="7" fontId="2" fillId="0" borderId="0" xfId="0" applyNumberFormat="1" applyFont="1" applyProtection="1"/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NumberFormat="1" applyFont="1" applyAlignment="1">
      <alignment vertical="center"/>
    </xf>
    <xf numFmtId="0" fontId="4" fillId="0" borderId="0" xfId="0" applyFont="1" applyProtection="1">
      <protection locked="0"/>
    </xf>
    <xf numFmtId="0" fontId="6" fillId="0" borderId="0" xfId="0" applyFont="1" applyProtection="1"/>
    <xf numFmtId="7" fontId="6" fillId="0" borderId="0" xfId="0" applyNumberFormat="1" applyFont="1" applyProtection="1"/>
    <xf numFmtId="0" fontId="6" fillId="0" borderId="0" xfId="0" applyFont="1" applyAlignment="1">
      <alignment horizontal="center"/>
    </xf>
    <xf numFmtId="171" fontId="6" fillId="0" borderId="0" xfId="0" applyNumberFormat="1" applyFont="1" applyProtection="1"/>
    <xf numFmtId="0" fontId="2" fillId="0" borderId="0" xfId="0" applyFont="1" applyAlignment="1">
      <alignment horizontal="fill"/>
    </xf>
    <xf numFmtId="172" fontId="0" fillId="0" borderId="0" xfId="0" applyNumberFormat="1"/>
    <xf numFmtId="7" fontId="0" fillId="0" borderId="0" xfId="0" applyNumberFormat="1"/>
    <xf numFmtId="0" fontId="8" fillId="0" borderId="0" xfId="0" applyFont="1"/>
    <xf numFmtId="0" fontId="3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5" fontId="6" fillId="0" borderId="0" xfId="0" applyNumberFormat="1" applyFont="1"/>
    <xf numFmtId="172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Alignment="1">
      <alignment horizontal="left" indent="6"/>
    </xf>
    <xf numFmtId="166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7" fontId="4" fillId="0" borderId="1" xfId="0" applyNumberFormat="1" applyFont="1" applyBorder="1" applyProtection="1">
      <protection locked="0"/>
    </xf>
    <xf numFmtId="5" fontId="6" fillId="0" borderId="0" xfId="0" applyNumberFormat="1" applyFont="1" applyProtection="1"/>
    <xf numFmtId="0" fontId="6" fillId="0" borderId="0" xfId="0" quotePrefix="1" applyFont="1" applyAlignment="1">
      <alignment horizontal="center"/>
    </xf>
    <xf numFmtId="10" fontId="6" fillId="0" borderId="0" xfId="0" applyNumberFormat="1" applyFont="1" applyProtection="1"/>
    <xf numFmtId="7" fontId="6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7" fontId="11" fillId="2" borderId="0" xfId="0" applyNumberFormat="1" applyFont="1" applyFill="1" applyProtection="1"/>
    <xf numFmtId="37" fontId="4" fillId="0" borderId="1" xfId="0" applyNumberFormat="1" applyFont="1" applyBorder="1" applyProtection="1">
      <protection locked="0"/>
    </xf>
    <xf numFmtId="7" fontId="2" fillId="0" borderId="0" xfId="0" applyNumberFormat="1" applyFont="1"/>
    <xf numFmtId="7" fontId="6" fillId="0" borderId="0" xfId="0" applyNumberFormat="1" applyFont="1" applyBorder="1"/>
    <xf numFmtId="180" fontId="4" fillId="2" borderId="1" xfId="0" applyNumberFormat="1" applyFont="1" applyFill="1" applyBorder="1" applyProtection="1">
      <protection locked="0"/>
    </xf>
    <xf numFmtId="7" fontId="7" fillId="0" borderId="0" xfId="0" applyNumberFormat="1" applyFont="1" applyProtection="1">
      <protection locked="0"/>
    </xf>
    <xf numFmtId="179" fontId="6" fillId="0" borderId="0" xfId="0" applyNumberFormat="1" applyFont="1" applyAlignment="1" applyProtection="1"/>
    <xf numFmtId="179" fontId="7" fillId="0" borderId="0" xfId="0" applyNumberFormat="1" applyFont="1" applyProtection="1">
      <protection locked="0"/>
    </xf>
    <xf numFmtId="166" fontId="4" fillId="0" borderId="2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1" fontId="5" fillId="0" borderId="0" xfId="0" applyNumberFormat="1" applyFont="1"/>
    <xf numFmtId="14" fontId="3" fillId="0" borderId="0" xfId="0" quotePrefix="1" applyNumberFormat="1" applyFont="1" applyAlignment="1">
      <alignment horizontal="left"/>
    </xf>
    <xf numFmtId="37" fontId="6" fillId="0" borderId="0" xfId="0" applyNumberFormat="1" applyFont="1"/>
    <xf numFmtId="175" fontId="4" fillId="2" borderId="1" xfId="1" applyNumberFormat="1" applyFont="1" applyFill="1" applyBorder="1" applyProtection="1">
      <protection locked="0"/>
    </xf>
    <xf numFmtId="7" fontId="6" fillId="0" borderId="0" xfId="0" applyNumberFormat="1" applyFont="1" applyBorder="1" applyProtection="1"/>
    <xf numFmtId="175" fontId="11" fillId="0" borderId="0" xfId="1" applyNumberFormat="1" applyFont="1" applyBorder="1" applyProtection="1"/>
    <xf numFmtId="171" fontId="2" fillId="0" borderId="0" xfId="0" applyNumberFormat="1" applyFont="1" applyProtection="1"/>
    <xf numFmtId="7" fontId="5" fillId="0" borderId="0" xfId="0" applyNumberFormat="1" applyFont="1"/>
    <xf numFmtId="0" fontId="6" fillId="0" borderId="0" xfId="0" applyFont="1" applyBorder="1" applyProtection="1"/>
    <xf numFmtId="0" fontId="6" fillId="0" borderId="0" xfId="0" applyFont="1" applyFill="1"/>
    <xf numFmtId="0" fontId="14" fillId="0" borderId="0" xfId="0" applyFont="1"/>
    <xf numFmtId="183" fontId="6" fillId="0" borderId="0" xfId="0" applyNumberFormat="1" applyFont="1" applyBorder="1" applyProtection="1"/>
    <xf numFmtId="8" fontId="6" fillId="0" borderId="0" xfId="0" applyNumberFormat="1" applyFont="1" applyBorder="1" applyProtection="1"/>
    <xf numFmtId="0" fontId="7" fillId="0" borderId="3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5" fontId="2" fillId="0" borderId="0" xfId="0" applyNumberFormat="1" applyFont="1" applyFill="1" applyProtection="1"/>
    <xf numFmtId="168" fontId="6" fillId="0" borderId="0" xfId="0" applyNumberFormat="1" applyFont="1" applyFill="1"/>
    <xf numFmtId="7" fontId="6" fillId="0" borderId="0" xfId="0" applyNumberFormat="1" applyFont="1" applyFill="1" applyProtection="1"/>
    <xf numFmtId="166" fontId="6" fillId="0" borderId="0" xfId="0" applyNumberFormat="1" applyFont="1" applyFill="1" applyProtection="1"/>
    <xf numFmtId="0" fontId="17" fillId="0" borderId="0" xfId="0" applyFont="1" applyAlignment="1">
      <alignment horizontal="center"/>
    </xf>
    <xf numFmtId="0" fontId="6" fillId="0" borderId="0" xfId="3"/>
    <xf numFmtId="0" fontId="2" fillId="3" borderId="0" xfId="0" applyFont="1" applyFill="1"/>
    <xf numFmtId="0" fontId="2" fillId="3" borderId="0" xfId="0" applyFont="1" applyFill="1" applyAlignment="1">
      <alignment horizontal="center"/>
    </xf>
    <xf numFmtId="7" fontId="2" fillId="3" borderId="0" xfId="0" applyNumberFormat="1" applyFont="1" applyFill="1" applyAlignment="1">
      <alignment horizontal="right"/>
    </xf>
    <xf numFmtId="3" fontId="12" fillId="0" borderId="0" xfId="0" applyNumberFormat="1" applyFont="1"/>
    <xf numFmtId="175" fontId="5" fillId="0" borderId="0" xfId="0" applyNumberFormat="1" applyFont="1"/>
    <xf numFmtId="0" fontId="0" fillId="0" borderId="0" xfId="0" applyFill="1"/>
    <xf numFmtId="0" fontId="4" fillId="0" borderId="0" xfId="0" applyFont="1" applyFill="1" applyBorder="1"/>
    <xf numFmtId="0" fontId="6" fillId="0" borderId="0" xfId="0" applyFont="1" applyFill="1" applyBorder="1" applyProtection="1"/>
    <xf numFmtId="0" fontId="2" fillId="0" borderId="0" xfId="0" applyFont="1" applyFill="1" applyAlignment="1">
      <alignment horizontal="center"/>
    </xf>
    <xf numFmtId="0" fontId="6" fillId="3" borderId="0" xfId="0" applyFont="1" applyFill="1"/>
    <xf numFmtId="5" fontId="2" fillId="3" borderId="0" xfId="0" applyNumberFormat="1" applyFont="1" applyFill="1" applyProtection="1"/>
    <xf numFmtId="0" fontId="2" fillId="0" borderId="0" xfId="0" applyFont="1" applyProtection="1"/>
    <xf numFmtId="5" fontId="2" fillId="0" borderId="0" xfId="0" applyNumberFormat="1" applyFont="1"/>
    <xf numFmtId="7" fontId="2" fillId="0" borderId="0" xfId="0" applyNumberFormat="1" applyFont="1" applyProtection="1">
      <protection locked="0"/>
    </xf>
    <xf numFmtId="0" fontId="14" fillId="0" borderId="0" xfId="3" applyFont="1"/>
    <xf numFmtId="0" fontId="14" fillId="0" borderId="0" xfId="3" applyFont="1" applyAlignment="1">
      <alignment horizontal="left"/>
    </xf>
    <xf numFmtId="0" fontId="19" fillId="0" borderId="0" xfId="3" applyFont="1"/>
    <xf numFmtId="6" fontId="14" fillId="0" borderId="0" xfId="3" applyNumberFormat="1" applyFont="1" applyProtection="1"/>
    <xf numFmtId="5" fontId="14" fillId="0" borderId="0" xfId="0" applyNumberFormat="1" applyFont="1"/>
    <xf numFmtId="2" fontId="14" fillId="0" borderId="0" xfId="0" applyNumberFormat="1" applyFont="1"/>
    <xf numFmtId="5" fontId="2" fillId="3" borderId="0" xfId="0" applyNumberFormat="1" applyFont="1" applyFill="1"/>
    <xf numFmtId="0" fontId="2" fillId="0" borderId="0" xfId="0" quotePrefix="1" applyFont="1" applyAlignment="1">
      <alignment horizontal="center"/>
    </xf>
    <xf numFmtId="168" fontId="14" fillId="0" borderId="0" xfId="0" applyNumberFormat="1" applyFont="1"/>
    <xf numFmtId="175" fontId="2" fillId="0" borderId="0" xfId="1" applyNumberFormat="1" applyFont="1" applyProtection="1"/>
    <xf numFmtId="175" fontId="6" fillId="0" borderId="0" xfId="1" applyNumberFormat="1" applyFont="1" applyProtection="1"/>
    <xf numFmtId="0" fontId="13" fillId="0" borderId="0" xfId="0" applyFont="1" applyAlignment="1">
      <alignment horizontal="center"/>
    </xf>
    <xf numFmtId="7" fontId="4" fillId="0" borderId="0" xfId="0" applyNumberFormat="1" applyFont="1" applyBorder="1" applyProtection="1">
      <protection locked="0"/>
    </xf>
    <xf numFmtId="175" fontId="6" fillId="0" borderId="0" xfId="1" applyNumberFormat="1" applyFont="1" applyAlignment="1" applyProtection="1"/>
    <xf numFmtId="3" fontId="6" fillId="0" borderId="0" xfId="0" applyNumberFormat="1" applyFont="1" applyFill="1" applyProtection="1"/>
    <xf numFmtId="2" fontId="6" fillId="0" borderId="0" xfId="0" applyNumberFormat="1" applyFont="1" applyFill="1" applyProtection="1"/>
    <xf numFmtId="181" fontId="0" fillId="0" borderId="0" xfId="0" applyNumberFormat="1"/>
    <xf numFmtId="7" fontId="5" fillId="0" borderId="0" xfId="0" applyNumberFormat="1" applyFont="1" applyAlignment="1">
      <alignment horizontal="right"/>
    </xf>
    <xf numFmtId="0" fontId="19" fillId="0" borderId="4" xfId="0" applyFont="1" applyBorder="1"/>
    <xf numFmtId="2" fontId="14" fillId="0" borderId="5" xfId="0" applyNumberFormat="1" applyFont="1" applyBorder="1"/>
    <xf numFmtId="0" fontId="14" fillId="0" borderId="5" xfId="0" applyFont="1" applyBorder="1"/>
    <xf numFmtId="0" fontId="14" fillId="0" borderId="6" xfId="0" applyFont="1" applyBorder="1"/>
    <xf numFmtId="166" fontId="14" fillId="0" borderId="7" xfId="0" applyNumberFormat="1" applyFont="1" applyBorder="1"/>
    <xf numFmtId="0" fontId="14" fillId="0" borderId="0" xfId="0" applyFont="1" applyBorder="1"/>
    <xf numFmtId="0" fontId="14" fillId="0" borderId="8" xfId="0" applyFont="1" applyBorder="1"/>
    <xf numFmtId="2" fontId="14" fillId="0" borderId="7" xfId="0" applyNumberFormat="1" applyFont="1" applyBorder="1"/>
    <xf numFmtId="176" fontId="14" fillId="0" borderId="7" xfId="0" applyNumberFormat="1" applyFont="1" applyBorder="1"/>
    <xf numFmtId="176" fontId="14" fillId="0" borderId="7" xfId="1" applyNumberFormat="1" applyFont="1" applyBorder="1" applyProtection="1"/>
    <xf numFmtId="180" fontId="14" fillId="0" borderId="0" xfId="0" applyNumberFormat="1" applyFont="1" applyBorder="1"/>
    <xf numFmtId="176" fontId="14" fillId="0" borderId="9" xfId="0" applyNumberFormat="1" applyFont="1" applyBorder="1" applyProtection="1"/>
    <xf numFmtId="0" fontId="14" fillId="0" borderId="10" xfId="0" applyFont="1" applyBorder="1"/>
    <xf numFmtId="0" fontId="14" fillId="0" borderId="11" xfId="0" applyFont="1" applyBorder="1"/>
    <xf numFmtId="0" fontId="19" fillId="0" borderId="7" xfId="0" applyFont="1" applyBorder="1" applyAlignment="1">
      <alignment horizontal="center"/>
    </xf>
    <xf numFmtId="9" fontId="2" fillId="0" borderId="0" xfId="4" applyFont="1"/>
    <xf numFmtId="184" fontId="6" fillId="0" borderId="0" xfId="4" applyNumberFormat="1" applyFont="1" applyBorder="1" applyProtection="1"/>
    <xf numFmtId="2" fontId="6" fillId="0" borderId="0" xfId="0" applyNumberFormat="1" applyFont="1" applyBorder="1" applyProtection="1"/>
    <xf numFmtId="180" fontId="7" fillId="0" borderId="3" xfId="0" applyNumberFormat="1" applyFont="1" applyBorder="1" applyProtection="1">
      <protection locked="0"/>
    </xf>
    <xf numFmtId="178" fontId="7" fillId="0" borderId="1" xfId="0" applyNumberFormat="1" applyFont="1" applyBorder="1" applyProtection="1">
      <protection locked="0"/>
    </xf>
    <xf numFmtId="7" fontId="7" fillId="0" borderId="3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/>
      <protection locked="0"/>
    </xf>
    <xf numFmtId="37" fontId="6" fillId="0" borderId="0" xfId="0" applyNumberFormat="1" applyFont="1" applyFill="1" applyProtection="1"/>
    <xf numFmtId="180" fontId="6" fillId="0" borderId="0" xfId="0" applyNumberFormat="1" applyFont="1" applyFill="1"/>
    <xf numFmtId="0" fontId="6" fillId="0" borderId="0" xfId="0" applyFont="1" applyFill="1" applyAlignment="1">
      <alignment horizontal="center"/>
    </xf>
    <xf numFmtId="175" fontId="6" fillId="0" borderId="0" xfId="1" applyNumberFormat="1" applyFont="1" applyFill="1"/>
    <xf numFmtId="175" fontId="5" fillId="0" borderId="0" xfId="0" applyNumberFormat="1" applyFont="1" applyFill="1"/>
    <xf numFmtId="170" fontId="0" fillId="0" borderId="0" xfId="0" applyNumberFormat="1" applyFill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79" fontId="5" fillId="3" borderId="0" xfId="0" applyNumberFormat="1" applyFont="1" applyFill="1"/>
    <xf numFmtId="0" fontId="5" fillId="3" borderId="0" xfId="0" applyFont="1" applyFill="1"/>
    <xf numFmtId="7" fontId="2" fillId="3" borderId="0" xfId="0" applyNumberFormat="1" applyFont="1" applyFill="1"/>
    <xf numFmtId="7" fontId="2" fillId="3" borderId="0" xfId="0" applyNumberFormat="1" applyFont="1" applyFill="1" applyAlignment="1" applyProtection="1">
      <alignment horizontal="right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7" fontId="2" fillId="3" borderId="0" xfId="0" applyNumberFormat="1" applyFont="1" applyFill="1" applyProtection="1"/>
    <xf numFmtId="0" fontId="12" fillId="3" borderId="0" xfId="0" applyFont="1" applyFill="1"/>
    <xf numFmtId="8" fontId="2" fillId="3" borderId="0" xfId="4" applyNumberFormat="1" applyFont="1" applyFill="1"/>
    <xf numFmtId="172" fontId="2" fillId="0" borderId="0" xfId="0" applyNumberFormat="1" applyFont="1" applyProtection="1"/>
    <xf numFmtId="175" fontId="6" fillId="0" borderId="0" xfId="1" applyNumberFormat="1" applyFont="1" applyBorder="1" applyAlignment="1" applyProtection="1">
      <alignment horizontal="right"/>
    </xf>
    <xf numFmtId="8" fontId="5" fillId="0" borderId="0" xfId="0" applyNumberFormat="1" applyFont="1"/>
    <xf numFmtId="5" fontId="5" fillId="0" borderId="0" xfId="0" applyNumberFormat="1" applyFont="1"/>
    <xf numFmtId="3" fontId="5" fillId="0" borderId="0" xfId="0" applyNumberFormat="1" applyFont="1"/>
    <xf numFmtId="8" fontId="2" fillId="0" borderId="0" xfId="0" applyNumberFormat="1" applyFont="1"/>
    <xf numFmtId="9" fontId="21" fillId="0" borderId="0" xfId="4" applyFont="1"/>
    <xf numFmtId="6" fontId="12" fillId="0" borderId="0" xfId="0" applyNumberFormat="1" applyFont="1"/>
    <xf numFmtId="168" fontId="0" fillId="0" borderId="0" xfId="0" applyNumberFormat="1"/>
    <xf numFmtId="0" fontId="19" fillId="0" borderId="4" xfId="3" applyFont="1" applyFill="1" applyBorder="1"/>
    <xf numFmtId="7" fontId="12" fillId="3" borderId="0" xfId="0" applyNumberFormat="1" applyFont="1" applyFill="1"/>
    <xf numFmtId="173" fontId="12" fillId="3" borderId="0" xfId="0" applyNumberFormat="1" applyFont="1" applyFill="1"/>
    <xf numFmtId="0" fontId="14" fillId="0" borderId="5" xfId="3" applyFont="1" applyBorder="1" applyProtection="1"/>
    <xf numFmtId="0" fontId="19" fillId="0" borderId="5" xfId="3" applyFont="1" applyBorder="1" applyProtection="1"/>
    <xf numFmtId="0" fontId="14" fillId="0" borderId="6" xfId="3" applyFont="1" applyBorder="1"/>
    <xf numFmtId="8" fontId="14" fillId="0" borderId="7" xfId="2" applyNumberFormat="1" applyFont="1" applyBorder="1" applyAlignment="1" applyProtection="1">
      <alignment horizontal="right"/>
    </xf>
    <xf numFmtId="0" fontId="14" fillId="0" borderId="0" xfId="3" applyFont="1" applyBorder="1" applyAlignment="1" applyProtection="1">
      <alignment horizontal="left"/>
    </xf>
    <xf numFmtId="0" fontId="19" fillId="0" borderId="0" xfId="3" applyFont="1" applyBorder="1" applyProtection="1"/>
    <xf numFmtId="6" fontId="14" fillId="0" borderId="0" xfId="3" applyNumberFormat="1" applyFont="1" applyBorder="1" applyAlignment="1" applyProtection="1">
      <alignment horizontal="right"/>
    </xf>
    <xf numFmtId="0" fontId="14" fillId="0" borderId="0" xfId="3" applyFont="1" applyBorder="1" applyAlignment="1">
      <alignment horizontal="left"/>
    </xf>
    <xf numFmtId="0" fontId="19" fillId="0" borderId="8" xfId="3" applyFont="1" applyBorder="1"/>
    <xf numFmtId="175" fontId="14" fillId="0" borderId="7" xfId="1" applyNumberFormat="1" applyFont="1" applyBorder="1" applyAlignment="1" applyProtection="1">
      <alignment horizontal="right"/>
    </xf>
    <xf numFmtId="8" fontId="14" fillId="0" borderId="0" xfId="3" applyNumberFormat="1" applyFont="1" applyBorder="1" applyProtection="1"/>
    <xf numFmtId="1" fontId="14" fillId="0" borderId="9" xfId="3" applyNumberFormat="1" applyFont="1" applyBorder="1" applyProtection="1"/>
    <xf numFmtId="0" fontId="14" fillId="0" borderId="10" xfId="3" applyFont="1" applyBorder="1" applyProtection="1"/>
    <xf numFmtId="8" fontId="14" fillId="0" borderId="10" xfId="3" applyNumberFormat="1" applyFont="1" applyBorder="1" applyProtection="1"/>
    <xf numFmtId="0" fontId="14" fillId="0" borderId="7" xfId="0" applyFont="1" applyBorder="1"/>
    <xf numFmtId="170" fontId="14" fillId="0" borderId="0" xfId="0" applyNumberFormat="1" applyFont="1" applyBorder="1"/>
    <xf numFmtId="175" fontId="14" fillId="0" borderId="8" xfId="1" applyNumberFormat="1" applyFont="1" applyBorder="1"/>
    <xf numFmtId="5" fontId="14" fillId="0" borderId="0" xfId="0" applyNumberFormat="1" applyFont="1" applyBorder="1"/>
    <xf numFmtId="2" fontId="14" fillId="0" borderId="8" xfId="0" applyNumberFormat="1" applyFont="1" applyBorder="1"/>
    <xf numFmtId="0" fontId="0" fillId="0" borderId="8" xfId="0" applyBorder="1"/>
    <xf numFmtId="0" fontId="19" fillId="0" borderId="9" xfId="0" applyFont="1" applyBorder="1"/>
    <xf numFmtId="0" fontId="19" fillId="0" borderId="10" xfId="0" applyFont="1" applyBorder="1"/>
    <xf numFmtId="7" fontId="19" fillId="0" borderId="10" xfId="0" applyNumberFormat="1" applyFont="1" applyBorder="1"/>
    <xf numFmtId="168" fontId="19" fillId="0" borderId="11" xfId="0" applyNumberFormat="1" applyFont="1" applyBorder="1"/>
    <xf numFmtId="0" fontId="14" fillId="0" borderId="0" xfId="0" applyFont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7" xfId="0" applyFont="1" applyFill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168" fontId="0" fillId="0" borderId="7" xfId="0" applyNumberFormat="1" applyBorder="1"/>
    <xf numFmtId="170" fontId="8" fillId="0" borderId="0" xfId="0" applyNumberFormat="1" applyFont="1" applyBorder="1"/>
    <xf numFmtId="44" fontId="14" fillId="0" borderId="0" xfId="2" applyFont="1" applyBorder="1" applyProtection="1"/>
    <xf numFmtId="5" fontId="19" fillId="0" borderId="0" xfId="0" applyNumberFormat="1" applyFont="1" applyBorder="1"/>
    <xf numFmtId="0" fontId="0" fillId="0" borderId="7" xfId="0" applyBorder="1"/>
    <xf numFmtId="44" fontId="14" fillId="0" borderId="0" xfId="0" applyNumberFormat="1" applyFont="1" applyBorder="1"/>
    <xf numFmtId="177" fontId="0" fillId="0" borderId="7" xfId="0" applyNumberFormat="1" applyBorder="1"/>
    <xf numFmtId="0" fontId="19" fillId="0" borderId="0" xfId="0" applyFont="1" applyBorder="1"/>
    <xf numFmtId="174" fontId="23" fillId="0" borderId="0" xfId="0" applyNumberFormat="1" applyFont="1" applyBorder="1"/>
    <xf numFmtId="7" fontId="6" fillId="0" borderId="7" xfId="0" applyNumberFormat="1" applyFont="1" applyBorder="1" applyProtection="1"/>
    <xf numFmtId="172" fontId="19" fillId="0" borderId="0" xfId="2" applyNumberFormat="1" applyFont="1" applyBorder="1" applyProtection="1"/>
    <xf numFmtId="172" fontId="14" fillId="0" borderId="0" xfId="2" applyNumberFormat="1" applyFont="1" applyBorder="1" applyProtection="1"/>
    <xf numFmtId="182" fontId="19" fillId="0" borderId="0" xfId="0" applyNumberFormat="1" applyFont="1" applyBorder="1"/>
    <xf numFmtId="172" fontId="14" fillId="0" borderId="0" xfId="0" applyNumberFormat="1" applyFont="1" applyBorder="1"/>
    <xf numFmtId="171" fontId="19" fillId="0" borderId="0" xfId="0" applyNumberFormat="1" applyFont="1" applyBorder="1"/>
    <xf numFmtId="172" fontId="22" fillId="0" borderId="0" xfId="2" applyNumberFormat="1" applyFont="1" applyBorder="1" applyProtection="1"/>
    <xf numFmtId="172" fontId="19" fillId="0" borderId="0" xfId="2" applyNumberFormat="1" applyFont="1" applyBorder="1"/>
    <xf numFmtId="44" fontId="19" fillId="0" borderId="0" xfId="2" applyFont="1" applyBorder="1"/>
    <xf numFmtId="172" fontId="14" fillId="0" borderId="0" xfId="2" applyNumberFormat="1" applyFont="1" applyBorder="1"/>
    <xf numFmtId="170" fontId="0" fillId="0" borderId="0" xfId="0" applyNumberFormat="1" applyBorder="1"/>
    <xf numFmtId="0" fontId="12" fillId="0" borderId="0" xfId="0" applyFont="1" applyBorder="1"/>
    <xf numFmtId="168" fontId="0" fillId="0" borderId="9" xfId="0" applyNumberFormat="1" applyBorder="1"/>
    <xf numFmtId="6" fontId="12" fillId="0" borderId="10" xfId="0" applyNumberFormat="1" applyFont="1" applyBorder="1"/>
    <xf numFmtId="172" fontId="19" fillId="0" borderId="10" xfId="0" applyNumberFormat="1" applyFont="1" applyBorder="1"/>
    <xf numFmtId="44" fontId="22" fillId="0" borderId="0" xfId="2" applyFont="1" applyBorder="1" applyProtection="1"/>
    <xf numFmtId="7" fontId="22" fillId="0" borderId="0" xfId="2" applyNumberFormat="1" applyFont="1" applyBorder="1" applyProtection="1"/>
    <xf numFmtId="8" fontId="0" fillId="0" borderId="0" xfId="0" applyNumberFormat="1"/>
    <xf numFmtId="6" fontId="5" fillId="0" borderId="0" xfId="0" applyNumberFormat="1" applyFont="1"/>
    <xf numFmtId="7" fontId="2" fillId="0" borderId="0" xfId="0" applyNumberFormat="1" applyFont="1" applyAlignment="1" applyProtection="1">
      <alignment horizontal="center"/>
      <protection locked="0"/>
    </xf>
    <xf numFmtId="184" fontId="2" fillId="3" borderId="0" xfId="4" applyNumberFormat="1" applyFont="1" applyFill="1" applyProtection="1"/>
    <xf numFmtId="184" fontId="2" fillId="0" borderId="0" xfId="4" applyNumberFormat="1" applyFont="1" applyProtection="1"/>
    <xf numFmtId="0" fontId="5" fillId="0" borderId="0" xfId="0" applyFont="1" applyAlignment="1" applyProtection="1">
      <alignment horizontal="center"/>
      <protection locked="0"/>
    </xf>
    <xf numFmtId="7" fontId="19" fillId="0" borderId="0" xfId="0" applyNumberFormat="1" applyFont="1" applyBorder="1"/>
    <xf numFmtId="168" fontId="19" fillId="0" borderId="0" xfId="0" applyNumberFormat="1" applyFont="1" applyBorder="1"/>
    <xf numFmtId="0" fontId="2" fillId="4" borderId="0" xfId="0" applyFont="1" applyFill="1"/>
    <xf numFmtId="0" fontId="5" fillId="4" borderId="0" xfId="0" applyFont="1" applyFill="1"/>
    <xf numFmtId="180" fontId="5" fillId="2" borderId="1" xfId="0" applyNumberFormat="1" applyFont="1" applyFill="1" applyBorder="1" applyProtection="1"/>
    <xf numFmtId="0" fontId="19" fillId="0" borderId="7" xfId="0" applyFont="1" applyBorder="1"/>
    <xf numFmtId="2" fontId="14" fillId="0" borderId="0" xfId="0" applyNumberFormat="1" applyFont="1" applyBorder="1"/>
    <xf numFmtId="8" fontId="2" fillId="4" borderId="0" xfId="4" applyNumberFormat="1" applyFont="1" applyFill="1"/>
    <xf numFmtId="0" fontId="6" fillId="4" borderId="0" xfId="0" applyFont="1" applyFill="1"/>
    <xf numFmtId="0" fontId="5" fillId="0" borderId="0" xfId="0" applyFont="1" applyAlignment="1" applyProtection="1">
      <alignment horizontal="center" vertical="center"/>
    </xf>
    <xf numFmtId="179" fontId="5" fillId="0" borderId="0" xfId="0" applyNumberFormat="1" applyFont="1" applyProtection="1"/>
    <xf numFmtId="168" fontId="2" fillId="3" borderId="0" xfId="0" applyNumberFormat="1" applyFont="1" applyFill="1" applyProtection="1"/>
    <xf numFmtId="43" fontId="0" fillId="0" borderId="0" xfId="0" applyNumberFormat="1" applyFill="1"/>
    <xf numFmtId="43" fontId="14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7" fontId="2" fillId="0" borderId="0" xfId="0" applyNumberFormat="1" applyFont="1" applyFill="1" applyProtection="1"/>
    <xf numFmtId="8" fontId="2" fillId="3" borderId="0" xfId="0" applyNumberFormat="1" applyFont="1" applyFill="1"/>
    <xf numFmtId="173" fontId="2" fillId="3" borderId="0" xfId="0" applyNumberFormat="1" applyFont="1" applyFill="1" applyProtection="1"/>
    <xf numFmtId="0" fontId="5" fillId="0" borderId="0" xfId="0" applyFont="1" applyFill="1"/>
    <xf numFmtId="0" fontId="0" fillId="0" borderId="0" xfId="0" applyFill="1" applyBorder="1"/>
    <xf numFmtId="7" fontId="2" fillId="3" borderId="0" xfId="0" quotePrefix="1" applyNumberFormat="1" applyFont="1" applyFill="1" applyAlignment="1">
      <alignment horizontal="center"/>
    </xf>
    <xf numFmtId="168" fontId="2" fillId="3" borderId="0" xfId="0" applyNumberFormat="1" applyFont="1" applyFill="1"/>
    <xf numFmtId="0" fontId="2" fillId="0" borderId="0" xfId="0" applyFont="1" applyFill="1" applyAlignment="1">
      <alignment horizontal="fill"/>
    </xf>
    <xf numFmtId="7" fontId="2" fillId="0" borderId="0" xfId="0" applyNumberFormat="1" applyFont="1" applyFill="1" applyAlignment="1" applyProtection="1">
      <alignment horizontal="right"/>
    </xf>
    <xf numFmtId="164" fontId="18" fillId="0" borderId="0" xfId="0" applyNumberFormat="1" applyFont="1" applyFill="1" applyProtection="1"/>
    <xf numFmtId="179" fontId="4" fillId="0" borderId="0" xfId="0" applyNumberFormat="1" applyFont="1" applyFill="1" applyBorder="1" applyProtection="1">
      <protection locked="0"/>
    </xf>
    <xf numFmtId="7" fontId="2" fillId="0" borderId="0" xfId="0" applyNumberFormat="1" applyFont="1" applyFill="1"/>
    <xf numFmtId="166" fontId="2" fillId="0" borderId="0" xfId="0" applyNumberFormat="1" applyFont="1" applyFill="1" applyProtection="1"/>
    <xf numFmtId="0" fontId="13" fillId="0" borderId="0" xfId="0" applyFont="1" applyFill="1" applyAlignment="1">
      <alignment horizontal="left"/>
    </xf>
    <xf numFmtId="5" fontId="0" fillId="0" borderId="0" xfId="0" applyNumberFormat="1" applyFill="1" applyProtection="1"/>
    <xf numFmtId="0" fontId="5" fillId="0" borderId="0" xfId="0" applyFont="1" applyFill="1" applyAlignment="1">
      <alignment horizontal="center"/>
    </xf>
    <xf numFmtId="180" fontId="4" fillId="0" borderId="1" xfId="0" applyNumberFormat="1" applyFont="1" applyFill="1" applyBorder="1" applyProtection="1">
      <protection locked="0"/>
    </xf>
    <xf numFmtId="180" fontId="4" fillId="0" borderId="0" xfId="0" applyNumberFormat="1" applyFont="1" applyFill="1" applyBorder="1" applyProtection="1">
      <protection locked="0"/>
    </xf>
    <xf numFmtId="179" fontId="2" fillId="3" borderId="0" xfId="0" applyNumberFormat="1" applyFont="1" applyFill="1" applyBorder="1" applyProtection="1"/>
    <xf numFmtId="2" fontId="19" fillId="0" borderId="7" xfId="0" applyNumberFormat="1" applyFont="1" applyBorder="1"/>
    <xf numFmtId="7" fontId="6" fillId="0" borderId="0" xfId="4" applyNumberFormat="1" applyFont="1" applyBorder="1" applyProtection="1"/>
    <xf numFmtId="183" fontId="7" fillId="0" borderId="12" xfId="0" applyNumberFormat="1" applyFont="1" applyFill="1" applyBorder="1" applyAlignment="1" applyProtection="1">
      <alignment horizontal="left"/>
      <protection locked="0"/>
    </xf>
    <xf numFmtId="167" fontId="5" fillId="0" borderId="0" xfId="0" applyNumberFormat="1" applyFont="1"/>
    <xf numFmtId="43" fontId="5" fillId="0" borderId="0" xfId="0" applyNumberFormat="1" applyFont="1"/>
    <xf numFmtId="165" fontId="2" fillId="0" borderId="0" xfId="0" applyNumberFormat="1" applyFont="1" applyFill="1" applyBorder="1" applyProtection="1"/>
    <xf numFmtId="1" fontId="5" fillId="0" borderId="0" xfId="0" applyNumberFormat="1" applyFont="1" applyFill="1" applyBorder="1"/>
    <xf numFmtId="183" fontId="5" fillId="0" borderId="0" xfId="0" applyNumberFormat="1" applyFont="1"/>
    <xf numFmtId="2" fontId="5" fillId="0" borderId="0" xfId="0" applyNumberFormat="1" applyFont="1"/>
    <xf numFmtId="0" fontId="4" fillId="0" borderId="3" xfId="0" applyFont="1" applyFill="1" applyBorder="1" applyProtection="1">
      <protection locked="0"/>
    </xf>
    <xf numFmtId="5" fontId="5" fillId="0" borderId="0" xfId="0" applyNumberFormat="1" applyFont="1" applyProtection="1"/>
    <xf numFmtId="168" fontId="5" fillId="0" borderId="0" xfId="0" applyNumberFormat="1" applyFont="1"/>
    <xf numFmtId="0" fontId="14" fillId="0" borderId="0" xfId="0" applyFont="1" applyFill="1" applyBorder="1"/>
    <xf numFmtId="172" fontId="14" fillId="0" borderId="0" xfId="0" applyNumberFormat="1" applyFont="1"/>
    <xf numFmtId="5" fontId="5" fillId="0" borderId="0" xfId="0" applyNumberFormat="1" applyFont="1" applyFill="1"/>
    <xf numFmtId="181" fontId="5" fillId="0" borderId="0" xfId="0" applyNumberFormat="1" applyFont="1" applyFill="1"/>
    <xf numFmtId="5" fontId="5" fillId="0" borderId="0" xfId="0" applyNumberFormat="1" applyFont="1" applyFill="1" applyProtection="1"/>
    <xf numFmtId="6" fontId="5" fillId="0" borderId="0" xfId="0" applyNumberFormat="1" applyFont="1" applyFill="1"/>
    <xf numFmtId="175" fontId="0" fillId="0" borderId="0" xfId="0" applyNumberFormat="1"/>
    <xf numFmtId="175" fontId="5" fillId="0" borderId="0" xfId="1" applyNumberFormat="1" applyFont="1"/>
    <xf numFmtId="0" fontId="26" fillId="0" borderId="0" xfId="0" applyFont="1" applyBorder="1"/>
    <xf numFmtId="166" fontId="2" fillId="0" borderId="0" xfId="0" applyNumberFormat="1" applyFont="1" applyFill="1" applyBorder="1" applyProtection="1"/>
    <xf numFmtId="9" fontId="5" fillId="0" borderId="0" xfId="4" applyFont="1"/>
    <xf numFmtId="5" fontId="8" fillId="0" borderId="0" xfId="0" applyNumberFormat="1" applyFont="1" applyProtection="1"/>
    <xf numFmtId="0" fontId="5" fillId="0" borderId="0" xfId="0" applyFont="1" applyProtection="1"/>
    <xf numFmtId="0" fontId="5" fillId="0" borderId="0" xfId="0" applyFont="1" applyFill="1" applyBorder="1" applyProtection="1">
      <protection locked="0"/>
    </xf>
    <xf numFmtId="7" fontId="2" fillId="0" borderId="0" xfId="0" applyNumberFormat="1" applyFont="1" applyBorder="1" applyProtection="1"/>
    <xf numFmtId="166" fontId="27" fillId="3" borderId="0" xfId="0" applyNumberFormat="1" applyFont="1" applyFill="1"/>
    <xf numFmtId="0" fontId="5" fillId="0" borderId="0" xfId="0" applyFont="1" applyProtection="1">
      <protection locked="0"/>
    </xf>
    <xf numFmtId="184" fontId="14" fillId="0" borderId="0" xfId="0" applyNumberFormat="1" applyFont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  <protection locked="0"/>
    </xf>
    <xf numFmtId="166" fontId="27" fillId="0" borderId="0" xfId="0" applyNumberFormat="1" applyFont="1" applyFill="1"/>
    <xf numFmtId="184" fontId="14" fillId="0" borderId="0" xfId="0" applyNumberFormat="1" applyFont="1" applyFill="1"/>
    <xf numFmtId="8" fontId="4" fillId="0" borderId="1" xfId="0" applyNumberFormat="1" applyFont="1" applyBorder="1" applyProtection="1">
      <protection locked="0"/>
    </xf>
    <xf numFmtId="1" fontId="6" fillId="0" borderId="0" xfId="0" applyNumberFormat="1" applyFont="1" applyBorder="1" applyProtection="1"/>
    <xf numFmtId="168" fontId="5" fillId="0" borderId="7" xfId="0" applyNumberFormat="1" applyFont="1" applyBorder="1"/>
    <xf numFmtId="10" fontId="5" fillId="0" borderId="7" xfId="4" applyNumberFormat="1" applyFont="1" applyBorder="1" applyProtection="1"/>
    <xf numFmtId="184" fontId="6" fillId="0" borderId="0" xfId="0" applyNumberFormat="1" applyFont="1" applyBorder="1" applyProtection="1"/>
    <xf numFmtId="0" fontId="26" fillId="0" borderId="3" xfId="0" applyFont="1" applyBorder="1" applyProtection="1">
      <protection locked="0"/>
    </xf>
    <xf numFmtId="0" fontId="19" fillId="0" borderId="5" xfId="0" applyFont="1" applyBorder="1"/>
    <xf numFmtId="166" fontId="14" fillId="0" borderId="0" xfId="0" applyNumberFormat="1" applyFont="1" applyBorder="1"/>
    <xf numFmtId="2" fontId="19" fillId="0" borderId="0" xfId="0" applyNumberFormat="1" applyFont="1" applyBorder="1"/>
    <xf numFmtId="176" fontId="14" fillId="0" borderId="0" xfId="0" applyNumberFormat="1" applyFont="1" applyBorder="1"/>
    <xf numFmtId="176" fontId="14" fillId="0" borderId="0" xfId="1" applyNumberFormat="1" applyFont="1" applyBorder="1" applyProtection="1"/>
    <xf numFmtId="0" fontId="19" fillId="0" borderId="0" xfId="0" applyFont="1" applyBorder="1" applyAlignment="1">
      <alignment horizontal="center"/>
    </xf>
    <xf numFmtId="176" fontId="14" fillId="0" borderId="10" xfId="0" applyNumberFormat="1" applyFont="1" applyBorder="1" applyProtection="1"/>
    <xf numFmtId="7" fontId="5" fillId="0" borderId="0" xfId="0" applyNumberFormat="1" applyFont="1" applyProtection="1"/>
    <xf numFmtId="14" fontId="26" fillId="0" borderId="0" xfId="0" applyNumberFormat="1" applyFont="1" applyProtection="1">
      <protection locked="0"/>
    </xf>
    <xf numFmtId="2" fontId="6" fillId="0" borderId="0" xfId="0" applyNumberFormat="1" applyFont="1"/>
    <xf numFmtId="172" fontId="2" fillId="3" borderId="0" xfId="0" applyNumberFormat="1" applyFont="1" applyFill="1" applyProtection="1"/>
    <xf numFmtId="1" fontId="2" fillId="0" borderId="0" xfId="0" applyNumberFormat="1" applyFont="1"/>
    <xf numFmtId="184" fontId="21" fillId="0" borderId="0" xfId="4" applyNumberFormat="1" applyFont="1"/>
    <xf numFmtId="168" fontId="14" fillId="0" borderId="0" xfId="2" applyNumberFormat="1" applyFont="1" applyBorder="1" applyProtection="1"/>
    <xf numFmtId="168" fontId="14" fillId="0" borderId="0" xfId="0" applyNumberFormat="1" applyFont="1" applyBorder="1"/>
    <xf numFmtId="2" fontId="23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Fill="1"/>
    <xf numFmtId="167" fontId="5" fillId="0" borderId="0" xfId="0" applyNumberFormat="1" applyFont="1" applyAlignment="1">
      <alignment horizontal="left"/>
    </xf>
    <xf numFmtId="7" fontId="5" fillId="0" borderId="1" xfId="0" applyNumberFormat="1" applyFont="1" applyBorder="1" applyProtection="1"/>
    <xf numFmtId="178" fontId="4" fillId="3" borderId="1" xfId="0" applyNumberFormat="1" applyFont="1" applyFill="1" applyBorder="1" applyProtection="1">
      <protection locked="0"/>
    </xf>
    <xf numFmtId="7" fontId="5" fillId="0" borderId="10" xfId="0" applyNumberFormat="1" applyFont="1" applyBorder="1" applyProtection="1"/>
    <xf numFmtId="172" fontId="2" fillId="3" borderId="0" xfId="0" applyNumberFormat="1" applyFont="1" applyFill="1"/>
    <xf numFmtId="7" fontId="2" fillId="3" borderId="0" xfId="0" applyNumberFormat="1" applyFont="1" applyFill="1" applyBorder="1" applyProtection="1"/>
    <xf numFmtId="175" fontId="5" fillId="0" borderId="1" xfId="1" applyNumberFormat="1" applyFont="1" applyBorder="1" applyProtection="1"/>
    <xf numFmtId="0" fontId="19" fillId="0" borderId="0" xfId="0" applyFont="1" applyFill="1" applyBorder="1"/>
    <xf numFmtId="2" fontId="2" fillId="0" borderId="0" xfId="0" applyNumberFormat="1" applyFont="1"/>
    <xf numFmtId="39" fontId="5" fillId="0" borderId="0" xfId="0" applyNumberFormat="1" applyFont="1"/>
    <xf numFmtId="10" fontId="2" fillId="3" borderId="0" xfId="4" applyNumberFormat="1" applyFont="1" applyFill="1" applyBorder="1" applyProtection="1"/>
    <xf numFmtId="10" fontId="2" fillId="3" borderId="0" xfId="4" applyNumberFormat="1" applyFont="1" applyFill="1"/>
    <xf numFmtId="10" fontId="2" fillId="3" borderId="0" xfId="4" applyNumberFormat="1" applyFont="1" applyFill="1" applyProtection="1"/>
    <xf numFmtId="9" fontId="2" fillId="3" borderId="0" xfId="4" applyFont="1" applyFill="1"/>
    <xf numFmtId="7" fontId="2" fillId="0" borderId="0" xfId="4" applyNumberFormat="1" applyFont="1" applyBorder="1" applyProtection="1"/>
    <xf numFmtId="185" fontId="6" fillId="0" borderId="0" xfId="0" applyNumberFormat="1" applyFont="1"/>
    <xf numFmtId="10" fontId="6" fillId="0" borderId="0" xfId="4" applyNumberFormat="1" applyFont="1" applyBorder="1" applyProtection="1"/>
    <xf numFmtId="9" fontId="5" fillId="0" borderId="0" xfId="4" applyFont="1" applyBorder="1" applyProtection="1"/>
    <xf numFmtId="183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75" fontId="4" fillId="0" borderId="1" xfId="1" applyNumberFormat="1" applyFont="1" applyBorder="1" applyProtection="1">
      <protection locked="0"/>
    </xf>
    <xf numFmtId="9" fontId="7" fillId="0" borderId="3" xfId="0" applyNumberFormat="1" applyFont="1" applyFill="1" applyBorder="1" applyAlignment="1" applyProtection="1">
      <alignment horizontal="left"/>
      <protection locked="0"/>
    </xf>
    <xf numFmtId="167" fontId="7" fillId="0" borderId="3" xfId="0" applyNumberFormat="1" applyFont="1" applyBorder="1" applyAlignment="1" applyProtection="1">
      <alignment horizontal="right"/>
      <protection locked="0"/>
    </xf>
    <xf numFmtId="9" fontId="6" fillId="0" borderId="0" xfId="0" applyNumberFormat="1" applyFont="1" applyBorder="1" applyProtection="1"/>
    <xf numFmtId="7" fontId="5" fillId="0" borderId="5" xfId="0" applyNumberFormat="1" applyFont="1" applyBorder="1" applyProtection="1"/>
    <xf numFmtId="8" fontId="29" fillId="0" borderId="3" xfId="0" applyNumberFormat="1" applyFont="1" applyBorder="1" applyProtection="1">
      <protection locked="0"/>
    </xf>
    <xf numFmtId="7" fontId="12" fillId="0" borderId="0" xfId="0" applyNumberFormat="1" applyFont="1"/>
    <xf numFmtId="5" fontId="0" fillId="0" borderId="0" xfId="0" applyNumberFormat="1"/>
    <xf numFmtId="168" fontId="12" fillId="0" borderId="0" xfId="0" applyNumberFormat="1" applyFont="1"/>
    <xf numFmtId="167" fontId="14" fillId="0" borderId="8" xfId="0" applyNumberFormat="1" applyFont="1" applyBorder="1"/>
    <xf numFmtId="175" fontId="5" fillId="0" borderId="0" xfId="1" applyNumberFormat="1" applyFont="1" applyFill="1" applyProtection="1"/>
    <xf numFmtId="166" fontId="5" fillId="0" borderId="0" xfId="0" applyNumberFormat="1" applyFont="1" applyFill="1" applyProtection="1"/>
    <xf numFmtId="175" fontId="2" fillId="0" borderId="0" xfId="0" applyNumberFormat="1" applyFont="1"/>
    <xf numFmtId="2" fontId="0" fillId="0" borderId="0" xfId="1" applyNumberFormat="1" applyFont="1"/>
    <xf numFmtId="1" fontId="13" fillId="0" borderId="0" xfId="0" applyNumberFormat="1" applyFont="1" applyFill="1" applyAlignment="1" applyProtection="1">
      <alignment horizontal="right"/>
    </xf>
    <xf numFmtId="5" fontId="13" fillId="0" borderId="0" xfId="0" applyNumberFormat="1" applyFont="1" applyFill="1" applyAlignment="1" applyProtection="1">
      <alignment horizontal="right"/>
    </xf>
    <xf numFmtId="5" fontId="0" fillId="0" borderId="0" xfId="0" applyNumberFormat="1" applyFill="1"/>
    <xf numFmtId="170" fontId="5" fillId="0" borderId="0" xfId="0" applyNumberFormat="1" applyFont="1"/>
    <xf numFmtId="170" fontId="2" fillId="3" borderId="0" xfId="0" applyNumberFormat="1" applyFont="1" applyFill="1"/>
    <xf numFmtId="172" fontId="5" fillId="0" borderId="13" xfId="0" applyNumberFormat="1" applyFont="1" applyBorder="1" applyProtection="1"/>
    <xf numFmtId="0" fontId="0" fillId="0" borderId="0" xfId="0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165" fontId="4" fillId="2" borderId="12" xfId="0" applyNumberFormat="1" applyFont="1" applyFill="1" applyBorder="1" applyProtection="1">
      <protection locked="0"/>
    </xf>
    <xf numFmtId="15" fontId="6" fillId="0" borderId="0" xfId="0" applyNumberFormat="1" applyFont="1" applyBorder="1" applyProtection="1"/>
    <xf numFmtId="8" fontId="6" fillId="3" borderId="0" xfId="0" applyNumberFormat="1" applyFont="1" applyFill="1" applyBorder="1" applyProtection="1"/>
    <xf numFmtId="1" fontId="6" fillId="0" borderId="0" xfId="0" applyNumberFormat="1" applyFont="1" applyBorder="1" applyAlignment="1" applyProtection="1">
      <alignment horizontal="left"/>
    </xf>
    <xf numFmtId="7" fontId="5" fillId="3" borderId="0" xfId="0" applyNumberFormat="1" applyFont="1" applyFill="1" applyBorder="1" applyProtection="1"/>
    <xf numFmtId="8" fontId="2" fillId="0" borderId="0" xfId="4" applyNumberFormat="1" applyFont="1" applyBorder="1" applyProtection="1"/>
    <xf numFmtId="0" fontId="2" fillId="3" borderId="0" xfId="0" applyFont="1" applyFill="1" applyAlignment="1">
      <alignment horizontal="left"/>
    </xf>
    <xf numFmtId="8" fontId="2" fillId="3" borderId="0" xfId="0" applyNumberFormat="1" applyFont="1" applyFill="1" applyBorder="1" applyProtection="1"/>
    <xf numFmtId="170" fontId="14" fillId="0" borderId="0" xfId="0" applyNumberFormat="1" applyFont="1" applyFill="1"/>
    <xf numFmtId="7" fontId="2" fillId="0" borderId="0" xfId="0" applyNumberFormat="1" applyFont="1" applyFill="1" applyBorder="1" applyProtection="1"/>
    <xf numFmtId="170" fontId="2" fillId="0" borderId="0" xfId="0" applyNumberFormat="1" applyFont="1"/>
    <xf numFmtId="0" fontId="8" fillId="0" borderId="0" xfId="0" applyFont="1" applyAlignment="1">
      <alignment horizontal="right"/>
    </xf>
    <xf numFmtId="7" fontId="0" fillId="0" borderId="0" xfId="0" applyNumberFormat="1" applyAlignment="1">
      <alignment horizontal="left"/>
    </xf>
    <xf numFmtId="5" fontId="0" fillId="0" borderId="0" xfId="0" applyNumberFormat="1" applyAlignment="1">
      <alignment horizontal="left"/>
    </xf>
    <xf numFmtId="172" fontId="5" fillId="0" borderId="0" xfId="0" applyNumberFormat="1" applyFont="1"/>
    <xf numFmtId="172" fontId="2" fillId="0" borderId="0" xfId="0" applyNumberFormat="1" applyFont="1"/>
    <xf numFmtId="0" fontId="29" fillId="0" borderId="0" xfId="0" applyFont="1" applyProtection="1">
      <protection locked="0"/>
    </xf>
    <xf numFmtId="14" fontId="0" fillId="0" borderId="0" xfId="0" applyNumberFormat="1" applyAlignment="1">
      <alignment horizontal="left"/>
    </xf>
    <xf numFmtId="14" fontId="29" fillId="0" borderId="1" xfId="0" applyNumberFormat="1" applyFont="1" applyBorder="1" applyProtection="1">
      <protection locked="0"/>
    </xf>
    <xf numFmtId="168" fontId="2" fillId="3" borderId="0" xfId="4" applyNumberFormat="1" applyFont="1" applyFill="1" applyBorder="1" applyProtection="1"/>
    <xf numFmtId="1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31" fillId="0" borderId="3" xfId="0" applyFont="1" applyFill="1" applyBorder="1" applyAlignment="1" applyProtection="1">
      <alignment horizontal="left"/>
      <protection locked="0"/>
    </xf>
    <xf numFmtId="7" fontId="32" fillId="0" borderId="3" xfId="0" applyNumberFormat="1" applyFont="1" applyBorder="1" applyProtection="1">
      <protection locked="0"/>
    </xf>
    <xf numFmtId="0" fontId="2" fillId="5" borderId="0" xfId="0" applyFont="1" applyFill="1"/>
    <xf numFmtId="0" fontId="13" fillId="5" borderId="0" xfId="0" applyFont="1" applyFill="1"/>
    <xf numFmtId="0" fontId="24" fillId="5" borderId="0" xfId="0" applyFont="1" applyFill="1"/>
    <xf numFmtId="0" fontId="0" fillId="5" borderId="0" xfId="0" applyFill="1"/>
    <xf numFmtId="0" fontId="13" fillId="5" borderId="0" xfId="0" applyFont="1" applyFill="1" applyAlignment="1">
      <alignment horizontal="center"/>
    </xf>
    <xf numFmtId="7" fontId="13" fillId="5" borderId="0" xfId="0" applyNumberFormat="1" applyFont="1" applyFill="1" applyAlignment="1" applyProtection="1">
      <alignment horizontal="right"/>
    </xf>
    <xf numFmtId="0" fontId="31" fillId="0" borderId="3" xfId="0" applyFont="1" applyBorder="1" applyAlignment="1" applyProtection="1">
      <alignment horizontal="left"/>
      <protection locked="0"/>
    </xf>
    <xf numFmtId="15" fontId="31" fillId="0" borderId="3" xfId="0" applyNumberFormat="1" applyFont="1" applyBorder="1" applyAlignment="1" applyProtection="1">
      <protection locked="0"/>
    </xf>
    <xf numFmtId="7" fontId="33" fillId="0" borderId="0" xfId="0" applyNumberFormat="1" applyFont="1"/>
    <xf numFmtId="7" fontId="34" fillId="0" borderId="0" xfId="0" applyNumberFormat="1" applyFont="1"/>
    <xf numFmtId="7" fontId="8" fillId="0" borderId="0" xfId="0" applyNumberFormat="1" applyFont="1"/>
    <xf numFmtId="165" fontId="4" fillId="2" borderId="3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/>
    <xf numFmtId="2" fontId="6" fillId="0" borderId="0" xfId="0" applyNumberFormat="1" applyFont="1" applyProtection="1"/>
    <xf numFmtId="2" fontId="7" fillId="0" borderId="3" xfId="0" applyNumberFormat="1" applyFont="1" applyBorder="1" applyAlignment="1" applyProtection="1">
      <alignment horizontal="right"/>
      <protection locked="0"/>
    </xf>
    <xf numFmtId="0" fontId="8" fillId="0" borderId="7" xfId="0" applyFont="1" applyBorder="1" applyAlignment="1">
      <alignment horizontal="right"/>
    </xf>
    <xf numFmtId="171" fontId="5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35" fillId="0" borderId="15" xfId="0" applyFont="1" applyBorder="1" applyAlignment="1" applyProtection="1">
      <alignment horizontal="left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31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Unit Cost (TUC) - Variable Corn Price With Feeders at Base Price - $/Cwt.* 
</a:t>
            </a:r>
          </a:p>
        </c:rich>
      </c:tx>
      <c:layout>
        <c:manualLayout>
          <c:xMode val="edge"/>
          <c:yMode val="edge"/>
          <c:x val="0.16199532989410806"/>
          <c:y val="1.3605332581509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4538431658699"/>
          <c:y val="0.11533365147538376"/>
          <c:w val="0.89585463795247011"/>
          <c:h val="0.72153716079607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Cost Sensitivity Analysis'!$B$67</c:f>
              <c:strCache>
                <c:ptCount val="1"/>
                <c:pt idx="0">
                  <c:v>TUC</c:v>
                </c:pt>
              </c:strCache>
            </c:strRef>
          </c:tx>
          <c:invertIfNegative val="0"/>
          <c:cat>
            <c:numRef>
              <c:f>'2. Cost Sensitivity Analysis'!$C$66:$G$66</c:f>
              <c:numCache>
                <c:formatCode>"$"#,##0.00_);\("$"#,##0.00\)</c:formatCode>
                <c:ptCount val="5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</c:numCache>
            </c:numRef>
          </c:cat>
          <c:val>
            <c:numRef>
              <c:f>'2. Cost Sensitivity Analysis'!$C$67:$G$67</c:f>
              <c:numCache>
                <c:formatCode>"$"#,##0_);\("$"#,##0\)</c:formatCode>
                <c:ptCount val="5"/>
                <c:pt idx="0">
                  <c:v>103.96159737839419</c:v>
                </c:pt>
                <c:pt idx="1">
                  <c:v>108.57165571443632</c:v>
                </c:pt>
                <c:pt idx="2">
                  <c:v>111.75258727639978</c:v>
                </c:pt>
                <c:pt idx="3">
                  <c:v>114.93351883836326</c:v>
                </c:pt>
                <c:pt idx="4">
                  <c:v>118.11445040032673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5-4EE7-A6BC-A0DF8205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43192"/>
        <c:axId val="331045544"/>
      </c:barChart>
      <c:catAx>
        <c:axId val="33104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Corn Price $/Bu.
</a:t>
                </a:r>
              </a:p>
            </c:rich>
          </c:tx>
          <c:layout>
            <c:manualLayout>
              <c:xMode val="edge"/>
              <c:yMode val="edge"/>
              <c:x val="0.49114135215856641"/>
              <c:y val="0.8956180733162829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1045544"/>
        <c:crosses val="autoZero"/>
        <c:auto val="1"/>
        <c:lblAlgn val="ctr"/>
        <c:lblOffset val="100"/>
        <c:noMultiLvlLbl val="0"/>
      </c:catAx>
      <c:valAx>
        <c:axId val="3310455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$/Cwt.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1043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Projected Finishing Costs</a:t>
            </a:r>
          </a:p>
        </c:rich>
      </c:tx>
      <c:layout>
        <c:manualLayout>
          <c:xMode val="edge"/>
          <c:yMode val="edge"/>
          <c:x val="0.36004535897101259"/>
          <c:y val="2.9880478087649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671983938514"/>
          <c:y val="0.32470151104713085"/>
          <c:w val="0.2663658352837957"/>
          <c:h val="0.47011997918480297"/>
        </c:manualLayout>
      </c:layout>
      <c:pieChart>
        <c:varyColors val="1"/>
        <c:ser>
          <c:idx val="0"/>
          <c:order val="0"/>
          <c:tx>
            <c:strRef>
              <c:f>'4. Graphs'!$J$34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6F-95FA-04BBC5B606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D8-4C6F-95FA-04BBC5B606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D8-4C6F-95FA-04BBC5B606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BD8-4C6F-95FA-04BBC5B606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BD8-4C6F-95FA-04BBC5B606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BBD8-4C6F-95FA-04BBC5B606E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 Graphs'!$I$35:$I$40</c:f>
              <c:strCache>
                <c:ptCount val="6"/>
                <c:pt idx="0">
                  <c:v>Feeder Cattle</c:v>
                </c:pt>
                <c:pt idx="1">
                  <c:v>Feed &amp; Yardage</c:v>
                </c:pt>
                <c:pt idx="2">
                  <c:v>Process,Vet Med.</c:v>
                </c:pt>
                <c:pt idx="3">
                  <c:v>Other</c:v>
                </c:pt>
                <c:pt idx="4">
                  <c:v>G&amp;A</c:v>
                </c:pt>
                <c:pt idx="5">
                  <c:v>Interest</c:v>
                </c:pt>
              </c:strCache>
            </c:strRef>
          </c:cat>
          <c:val>
            <c:numRef>
              <c:f>'4. Graphs'!$J$35:$J$40</c:f>
              <c:numCache>
                <c:formatCode>"$"#,##0_);\("$"#,##0\)</c:formatCode>
                <c:ptCount val="6"/>
                <c:pt idx="0">
                  <c:v>108397.95918367348</c:v>
                </c:pt>
                <c:pt idx="1">
                  <c:v>38145.644922164567</c:v>
                </c:pt>
                <c:pt idx="2">
                  <c:v>2000</c:v>
                </c:pt>
                <c:pt idx="3">
                  <c:v>500</c:v>
                </c:pt>
                <c:pt idx="4">
                  <c:v>2500</c:v>
                </c:pt>
                <c:pt idx="5">
                  <c:v>2361.40136802296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D8-4C6F-95FA-04BBC5B60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4972375690608"/>
          <c:y val="0.39840637450199201"/>
          <c:w val="0.27845303867403315"/>
          <c:h val="0.32669322709163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Finishing Margins $/Head</a:t>
            </a:r>
          </a:p>
        </c:rich>
      </c:tx>
      <c:layout>
        <c:manualLayout>
          <c:xMode val="edge"/>
          <c:yMode val="edge"/>
          <c:x val="0.35340929992204811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6370509127813"/>
          <c:y val="0.18227848101265823"/>
          <c:w val="0.8704550284396243"/>
          <c:h val="0.63037974683544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Graphs'!$F$33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Graphs'!$B$34:$E$36</c:f>
              <c:strCache>
                <c:ptCount val="3"/>
                <c:pt idx="0">
                  <c:v>Marketing Margin</c:v>
                </c:pt>
                <c:pt idx="1">
                  <c:v>Feeding Margin</c:v>
                </c:pt>
                <c:pt idx="2">
                  <c:v>Net Margin</c:v>
                </c:pt>
              </c:strCache>
            </c:strRef>
          </c:cat>
          <c:val>
            <c:numRef>
              <c:f>'4. Graphs'!$F$34:$F$36</c:f>
              <c:numCache>
                <c:formatCode>"$"#,##0.00_);[Red]\("$"#,##0.00\)</c:formatCode>
                <c:ptCount val="3"/>
                <c:pt idx="0">
                  <c:v>-239.41251004058881</c:v>
                </c:pt>
                <c:pt idx="1">
                  <c:v>256.77649515310412</c:v>
                </c:pt>
                <c:pt idx="2">
                  <c:v>17.363985112515127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21A-939C-6E01728A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41232"/>
        <c:axId val="330074184"/>
      </c:barChart>
      <c:catAx>
        <c:axId val="33104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074184"/>
        <c:crosses val="autoZero"/>
        <c:auto val="1"/>
        <c:lblAlgn val="ctr"/>
        <c:lblOffset val="100"/>
        <c:tickMarkSkip val="1"/>
        <c:noMultiLvlLbl val="0"/>
      </c:catAx>
      <c:valAx>
        <c:axId val="33007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04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39</xdr:row>
      <xdr:rowOff>171450</xdr:rowOff>
    </xdr:from>
    <xdr:to>
      <xdr:col>6</xdr:col>
      <xdr:colOff>904875</xdr:colOff>
      <xdr:row>62</xdr:row>
      <xdr:rowOff>133350</xdr:rowOff>
    </xdr:to>
    <xdr:graphicFrame macro="">
      <xdr:nvGraphicFramePr>
        <xdr:cNvPr id="263286" name="Chart 2">
          <a:extLst>
            <a:ext uri="{FF2B5EF4-FFF2-40B4-BE49-F238E27FC236}">
              <a16:creationId xmlns:a16="http://schemas.microsoft.com/office/drawing/2014/main" id="{00000000-0008-0000-0100-0000760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11</xdr:col>
      <xdr:colOff>771525</xdr:colOff>
      <xdr:row>30</xdr:row>
      <xdr:rowOff>123825</xdr:rowOff>
    </xdr:to>
    <xdr:graphicFrame macro="">
      <xdr:nvGraphicFramePr>
        <xdr:cNvPr id="1156170" name="Chart 4">
          <a:extLst>
            <a:ext uri="{FF2B5EF4-FFF2-40B4-BE49-F238E27FC236}">
              <a16:creationId xmlns:a16="http://schemas.microsoft.com/office/drawing/2014/main" id="{00000000-0008-0000-0300-00004A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46</xdr:row>
      <xdr:rowOff>38100</xdr:rowOff>
    </xdr:from>
    <xdr:to>
      <xdr:col>11</xdr:col>
      <xdr:colOff>733425</xdr:colOff>
      <xdr:row>69</xdr:row>
      <xdr:rowOff>76200</xdr:rowOff>
    </xdr:to>
    <xdr:graphicFrame macro="">
      <xdr:nvGraphicFramePr>
        <xdr:cNvPr id="1156171" name="Chart 5">
          <a:extLst>
            <a:ext uri="{FF2B5EF4-FFF2-40B4-BE49-F238E27FC236}">
              <a16:creationId xmlns:a16="http://schemas.microsoft.com/office/drawing/2014/main" id="{00000000-0008-0000-0300-00004B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133"/>
  <sheetViews>
    <sheetView tabSelected="1" zoomScaleNormal="100" zoomScaleSheetLayoutView="100" workbookViewId="0">
      <selection activeCell="D50" sqref="D50"/>
    </sheetView>
  </sheetViews>
  <sheetFormatPr defaultRowHeight="12.45" x14ac:dyDescent="0.3"/>
  <cols>
    <col min="1" max="1" width="6.69140625" customWidth="1"/>
    <col min="2" max="2" width="56.23046875" customWidth="1"/>
    <col min="3" max="3" width="12.69140625" customWidth="1"/>
    <col min="4" max="4" width="15" customWidth="1"/>
    <col min="5" max="5" width="15.4609375" customWidth="1"/>
    <col min="6" max="6" width="17.53515625" customWidth="1"/>
    <col min="7" max="7" width="14.53515625" customWidth="1"/>
    <col min="8" max="8" width="14.15234375" customWidth="1"/>
    <col min="9" max="9" width="25.69140625" customWidth="1"/>
    <col min="10" max="11" width="15.4609375" customWidth="1"/>
    <col min="12" max="12" width="16.23046875" customWidth="1"/>
    <col min="13" max="13" width="15.23046875" customWidth="1"/>
    <col min="14" max="14" width="16.23046875" customWidth="1"/>
    <col min="15" max="15" width="15.15234375" customWidth="1"/>
    <col min="16" max="16" width="12.84375" customWidth="1"/>
    <col min="17" max="17" width="13.23046875" customWidth="1"/>
    <col min="19" max="19" width="12.69140625" bestFit="1" customWidth="1"/>
    <col min="21" max="21" width="14.69140625" customWidth="1"/>
  </cols>
  <sheetData>
    <row r="1" spans="2:15" ht="17.600000000000001" x14ac:dyDescent="0.4">
      <c r="B1" s="405" t="s">
        <v>217</v>
      </c>
      <c r="C1" s="405"/>
      <c r="D1" s="405"/>
      <c r="E1" s="405"/>
      <c r="F1" s="405"/>
      <c r="G1" s="101"/>
      <c r="H1" s="101"/>
      <c r="I1" s="101"/>
    </row>
    <row r="2" spans="2:15" ht="15" x14ac:dyDescent="0.35">
      <c r="B2" s="134" t="s">
        <v>97</v>
      </c>
      <c r="H2" s="24" t="s">
        <v>337</v>
      </c>
      <c r="I2" s="380">
        <v>41406</v>
      </c>
      <c r="K2" s="54"/>
    </row>
    <row r="3" spans="2:15" ht="15" x14ac:dyDescent="0.35">
      <c r="B3" s="270" t="s">
        <v>366</v>
      </c>
      <c r="C3" s="81"/>
      <c r="D3" s="81"/>
      <c r="E3" s="8" t="s">
        <v>0</v>
      </c>
    </row>
    <row r="4" spans="2:15" ht="15" x14ac:dyDescent="0.35">
      <c r="B4" s="270" t="s">
        <v>367</v>
      </c>
      <c r="C4" s="286" t="s">
        <v>240</v>
      </c>
      <c r="D4" s="131">
        <v>20</v>
      </c>
      <c r="E4" s="394">
        <v>44036</v>
      </c>
      <c r="F4" s="82"/>
      <c r="G4" s="82"/>
      <c r="H4" s="82"/>
      <c r="I4" s="245"/>
    </row>
    <row r="5" spans="2:15" ht="15" x14ac:dyDescent="0.35">
      <c r="B5" s="41" t="s">
        <v>358</v>
      </c>
      <c r="C5" s="385" t="s">
        <v>361</v>
      </c>
      <c r="D5" s="41" t="s">
        <v>76</v>
      </c>
      <c r="E5" s="263" t="s">
        <v>293</v>
      </c>
      <c r="G5" s="317"/>
      <c r="H5" s="130"/>
      <c r="I5" s="245"/>
      <c r="J5" s="81"/>
      <c r="K5" s="81"/>
    </row>
    <row r="6" spans="2:15" ht="15" x14ac:dyDescent="0.35">
      <c r="B6" s="41" t="s">
        <v>360</v>
      </c>
      <c r="C6" s="131" t="s">
        <v>361</v>
      </c>
      <c r="D6" s="41" t="s">
        <v>214</v>
      </c>
      <c r="E6" s="393" t="s">
        <v>364</v>
      </c>
      <c r="F6" s="342">
        <v>1</v>
      </c>
      <c r="G6" s="317" t="s">
        <v>3</v>
      </c>
      <c r="H6" s="130"/>
      <c r="I6" s="267"/>
      <c r="J6" s="320"/>
      <c r="K6" s="321"/>
      <c r="L6" s="8"/>
    </row>
    <row r="7" spans="2:15" ht="15.45" x14ac:dyDescent="0.4">
      <c r="B7" s="52" t="s">
        <v>94</v>
      </c>
      <c r="C7" s="66" t="s">
        <v>322</v>
      </c>
      <c r="D7" s="319" t="s">
        <v>324</v>
      </c>
      <c r="E7" s="362">
        <v>1</v>
      </c>
      <c r="F7" s="83"/>
      <c r="G7" s="84"/>
      <c r="H7" s="84"/>
      <c r="K7" s="245"/>
    </row>
    <row r="8" spans="2:15" ht="15.45" x14ac:dyDescent="0.4">
      <c r="B8" s="318" t="s">
        <v>325</v>
      </c>
      <c r="C8" s="66">
        <v>3</v>
      </c>
      <c r="D8" s="409" t="s">
        <v>355</v>
      </c>
      <c r="E8" s="410"/>
      <c r="F8" s="411"/>
      <c r="G8" s="84"/>
      <c r="H8" s="84"/>
      <c r="I8" s="8" t="s">
        <v>323</v>
      </c>
      <c r="J8" s="245"/>
      <c r="K8" s="245"/>
      <c r="M8" s="264"/>
    </row>
    <row r="9" spans="2:15" ht="15" x14ac:dyDescent="0.35">
      <c r="B9" s="13" t="s">
        <v>95</v>
      </c>
      <c r="C9" s="8"/>
      <c r="D9" s="8"/>
      <c r="E9" s="13"/>
      <c r="F9" s="363">
        <v>44075</v>
      </c>
      <c r="G9" s="13"/>
      <c r="H9" s="13"/>
      <c r="I9" s="8"/>
    </row>
    <row r="10" spans="2:15" ht="15" x14ac:dyDescent="0.35">
      <c r="B10" s="13" t="s">
        <v>96</v>
      </c>
      <c r="C10" s="10" t="s">
        <v>1</v>
      </c>
      <c r="D10" s="10"/>
      <c r="E10" s="13"/>
      <c r="F10" s="50">
        <v>100</v>
      </c>
      <c r="G10" s="13"/>
      <c r="H10" s="13"/>
      <c r="I10" s="318" t="s">
        <v>353</v>
      </c>
      <c r="J10" s="318" t="s">
        <v>248</v>
      </c>
      <c r="K10" s="399" t="s">
        <v>354</v>
      </c>
      <c r="L10" s="318" t="s">
        <v>352</v>
      </c>
      <c r="M10" s="318" t="s">
        <v>89</v>
      </c>
      <c r="N10" s="318" t="s">
        <v>216</v>
      </c>
    </row>
    <row r="11" spans="2:15" ht="15" x14ac:dyDescent="0.35">
      <c r="B11" s="13" t="s">
        <v>98</v>
      </c>
      <c r="C11" s="10" t="s">
        <v>2</v>
      </c>
      <c r="D11" s="10"/>
      <c r="E11" s="13"/>
      <c r="F11" s="33">
        <v>750</v>
      </c>
      <c r="G11" s="13"/>
      <c r="H11" s="13"/>
      <c r="I11" s="398">
        <v>43876</v>
      </c>
      <c r="J11" s="400">
        <f>F18</f>
        <v>44259.210526315786</v>
      </c>
      <c r="K11" s="53">
        <f>J11-I11</f>
        <v>383.21052631578641</v>
      </c>
      <c r="L11" s="33">
        <v>100</v>
      </c>
      <c r="M11" s="80">
        <f>F23</f>
        <v>1392</v>
      </c>
      <c r="N11" s="265">
        <f>IF(L11=0,0,((M11-L11)/K11))</f>
        <v>3.3715149017992303</v>
      </c>
    </row>
    <row r="12" spans="2:15" ht="15.45" x14ac:dyDescent="0.4">
      <c r="B12" s="8" t="s">
        <v>266</v>
      </c>
      <c r="C12" s="10" t="s">
        <v>4</v>
      </c>
      <c r="E12" s="8"/>
      <c r="F12" s="360">
        <f>D126</f>
        <v>143</v>
      </c>
      <c r="H12" s="404">
        <f>D98</f>
        <v>17.363985112515127</v>
      </c>
      <c r="I12" s="8" t="s">
        <v>62</v>
      </c>
    </row>
    <row r="13" spans="2:15" ht="15" x14ac:dyDescent="0.35">
      <c r="B13" s="13" t="s">
        <v>99</v>
      </c>
      <c r="C13" s="74" t="s">
        <v>109</v>
      </c>
      <c r="D13" s="35">
        <v>3.75</v>
      </c>
      <c r="E13" s="341">
        <v>200</v>
      </c>
      <c r="F13" s="322">
        <f>M17</f>
        <v>11.479591836734695</v>
      </c>
      <c r="H13" s="336">
        <f>F74</f>
        <v>145.29204603485198</v>
      </c>
      <c r="I13" s="8" t="s">
        <v>61</v>
      </c>
    </row>
    <row r="14" spans="2:15" ht="15" x14ac:dyDescent="0.35">
      <c r="B14" s="13" t="s">
        <v>100</v>
      </c>
      <c r="C14" s="10" t="s">
        <v>6</v>
      </c>
      <c r="D14" s="10"/>
      <c r="E14" s="13"/>
      <c r="F14" s="18">
        <f>((F11*F12*0.01)+F13)</f>
        <v>1083.9795918367347</v>
      </c>
      <c r="G14" s="19"/>
      <c r="H14" s="19"/>
    </row>
    <row r="15" spans="2:15" ht="15.45" x14ac:dyDescent="0.4">
      <c r="B15" s="13" t="s">
        <v>101</v>
      </c>
      <c r="C15" s="10" t="s">
        <v>4</v>
      </c>
      <c r="D15" s="10"/>
      <c r="E15" s="13"/>
      <c r="F15" s="44">
        <f>(F14/F11)*100</f>
        <v>144.53061224489795</v>
      </c>
      <c r="G15" s="19"/>
      <c r="H15" s="19"/>
      <c r="I15" s="39"/>
      <c r="J15" s="160" t="s">
        <v>110</v>
      </c>
      <c r="K15" s="163"/>
      <c r="L15" s="164"/>
      <c r="M15" s="327">
        <f>E13</f>
        <v>200</v>
      </c>
      <c r="N15" s="163" t="s">
        <v>264</v>
      </c>
      <c r="O15" s="165"/>
    </row>
    <row r="16" spans="2:15" ht="15.45" x14ac:dyDescent="0.4">
      <c r="B16" s="76" t="s">
        <v>129</v>
      </c>
      <c r="C16" s="77" t="s">
        <v>42</v>
      </c>
      <c r="D16" s="77"/>
      <c r="E16" s="85"/>
      <c r="F16" s="86">
        <f>(F14*F10)</f>
        <v>108397.95918367348</v>
      </c>
      <c r="G16" s="5"/>
      <c r="H16" s="5"/>
      <c r="I16" s="18"/>
      <c r="J16" s="322">
        <f>D13</f>
        <v>3.75</v>
      </c>
      <c r="K16" s="167" t="s">
        <v>111</v>
      </c>
      <c r="L16" s="168"/>
      <c r="M16" s="169">
        <f>J16*M15</f>
        <v>750</v>
      </c>
      <c r="N16" s="170" t="s">
        <v>113</v>
      </c>
      <c r="O16" s="171"/>
    </row>
    <row r="17" spans="2:21" ht="15.45" x14ac:dyDescent="0.4">
      <c r="B17" s="1"/>
      <c r="C17" s="6"/>
      <c r="D17" s="6"/>
      <c r="E17" s="62" t="s">
        <v>102</v>
      </c>
      <c r="F17" s="70"/>
      <c r="G17" s="71"/>
      <c r="H17" s="71"/>
      <c r="I17" s="72"/>
      <c r="J17" s="172">
        <v>49000</v>
      </c>
      <c r="K17" s="167" t="s">
        <v>112</v>
      </c>
      <c r="L17" s="168"/>
      <c r="M17" s="173">
        <f>M16/J18</f>
        <v>11.479591836734695</v>
      </c>
      <c r="N17" s="170" t="s">
        <v>114</v>
      </c>
      <c r="O17" s="171"/>
    </row>
    <row r="18" spans="2:21" ht="15.45" x14ac:dyDescent="0.4">
      <c r="B18" s="8" t="s">
        <v>103</v>
      </c>
      <c r="D18" s="8"/>
      <c r="E18" s="13" t="s">
        <v>146</v>
      </c>
      <c r="F18" s="266">
        <f>F9+F19</f>
        <v>44259.210526315786</v>
      </c>
      <c r="G18" s="81"/>
      <c r="H18" s="81"/>
      <c r="I18" s="62"/>
      <c r="J18" s="174">
        <f>J17/D105</f>
        <v>65.333333333333329</v>
      </c>
      <c r="K18" s="175" t="s">
        <v>115</v>
      </c>
      <c r="L18" s="175"/>
      <c r="M18" s="176">
        <f>(M17/D105)*100</f>
        <v>1.5306122448979593</v>
      </c>
      <c r="N18" s="120" t="s">
        <v>4</v>
      </c>
      <c r="O18" s="121"/>
    </row>
    <row r="19" spans="2:21" ht="15" x14ac:dyDescent="0.35">
      <c r="B19" s="13" t="s">
        <v>147</v>
      </c>
      <c r="C19" s="129" t="s">
        <v>148</v>
      </c>
      <c r="D19" s="53"/>
      <c r="E19" s="56">
        <v>1450</v>
      </c>
      <c r="F19" s="73">
        <f>((E19-F11)/F20)</f>
        <v>184.21052631578948</v>
      </c>
      <c r="G19" s="81"/>
      <c r="H19" s="81"/>
      <c r="I19" s="62"/>
    </row>
    <row r="20" spans="2:21" ht="15.45" x14ac:dyDescent="0.4">
      <c r="B20" s="8" t="s">
        <v>122</v>
      </c>
      <c r="C20" s="10" t="s">
        <v>7</v>
      </c>
      <c r="D20" s="10"/>
      <c r="E20" s="13"/>
      <c r="F20" s="34">
        <v>3.8</v>
      </c>
      <c r="G20" s="81"/>
      <c r="H20" s="81"/>
      <c r="I20" s="240" t="s">
        <v>193</v>
      </c>
      <c r="J20" s="62"/>
      <c r="K20" s="62"/>
      <c r="L20" s="81"/>
    </row>
    <row r="21" spans="2:21" ht="15" x14ac:dyDescent="0.35">
      <c r="B21" s="8" t="s">
        <v>104</v>
      </c>
      <c r="C21" s="10" t="s">
        <v>2</v>
      </c>
      <c r="D21" s="10"/>
      <c r="E21" s="13"/>
      <c r="F21" s="55">
        <f>(F19*F20+F11)</f>
        <v>1450</v>
      </c>
      <c r="G21" s="81"/>
      <c r="H21" s="81"/>
      <c r="I21" s="132">
        <f>((F21*F30)-(F10*F11))</f>
        <v>68550</v>
      </c>
      <c r="J21" s="133">
        <f>IF(I21&lt;=0,"Undefined",(I21/(F19*F30)))</f>
        <v>3.7588744588744585</v>
      </c>
      <c r="K21" s="133"/>
      <c r="L21" s="81"/>
    </row>
    <row r="22" spans="2:21" ht="15" x14ac:dyDescent="0.35">
      <c r="B22" s="8" t="s">
        <v>105</v>
      </c>
      <c r="C22" s="10" t="s">
        <v>3</v>
      </c>
      <c r="D22" s="10"/>
      <c r="E22" s="13"/>
      <c r="F22" s="9">
        <v>4</v>
      </c>
      <c r="G22" s="81"/>
      <c r="H22" s="81"/>
      <c r="I22" s="134" t="s">
        <v>34</v>
      </c>
      <c r="J22" s="135">
        <f>(I21/F30)</f>
        <v>692.42424242424238</v>
      </c>
      <c r="K22" s="135"/>
      <c r="L22" s="81"/>
    </row>
    <row r="23" spans="2:21" ht="15.45" x14ac:dyDescent="0.4">
      <c r="B23" s="8" t="s">
        <v>106</v>
      </c>
      <c r="C23" s="10" t="s">
        <v>8</v>
      </c>
      <c r="D23" s="10"/>
      <c r="E23" s="13"/>
      <c r="F23" s="99">
        <f>((1-F22*0.01)*F21)</f>
        <v>1392</v>
      </c>
      <c r="G23" s="81"/>
      <c r="H23" s="81"/>
      <c r="I23" s="134" t="s">
        <v>9</v>
      </c>
      <c r="J23" s="62"/>
      <c r="K23" s="62"/>
      <c r="L23" s="136">
        <f>F23*F30</f>
        <v>137808</v>
      </c>
      <c r="M23" s="8" t="s">
        <v>204</v>
      </c>
    </row>
    <row r="24" spans="2:21" ht="15" x14ac:dyDescent="0.35">
      <c r="B24" s="8" t="s">
        <v>262</v>
      </c>
      <c r="C24" s="41" t="s">
        <v>263</v>
      </c>
      <c r="D24" s="10"/>
      <c r="E24" s="310">
        <f>J24</f>
        <v>3.4095771428571431</v>
      </c>
      <c r="F24" s="100">
        <f>(F23-F11)</f>
        <v>642</v>
      </c>
      <c r="G24" s="81"/>
      <c r="H24" s="81"/>
      <c r="I24" s="104">
        <f>((F23*F30)-(F11*F10))</f>
        <v>62808</v>
      </c>
      <c r="J24" s="105">
        <f>IF(F19&lt;=0,"Undefined",(I24/(F10*F19)))</f>
        <v>3.4095771428571431</v>
      </c>
      <c r="K24" s="105"/>
      <c r="L24" s="81"/>
    </row>
    <row r="25" spans="2:21" ht="15.45" x14ac:dyDescent="0.4">
      <c r="B25" s="8" t="s">
        <v>267</v>
      </c>
      <c r="C25" s="10" t="s">
        <v>4</v>
      </c>
      <c r="D25" s="10"/>
      <c r="E25" s="13"/>
      <c r="F25" s="324">
        <f>E126</f>
        <v>113</v>
      </c>
      <c r="G25" s="81"/>
      <c r="H25" s="81"/>
      <c r="I25" s="245" t="s">
        <v>124</v>
      </c>
      <c r="J25" s="135">
        <f>(I24/F10)</f>
        <v>628.08000000000004</v>
      </c>
      <c r="K25" s="135"/>
      <c r="L25" s="81"/>
    </row>
    <row r="26" spans="2:21" ht="15" x14ac:dyDescent="0.35">
      <c r="B26" s="8" t="s">
        <v>107</v>
      </c>
      <c r="C26" s="10" t="s">
        <v>5</v>
      </c>
      <c r="D26" s="10"/>
      <c r="E26" s="127">
        <v>0</v>
      </c>
      <c r="F26" s="45">
        <f>((F23*F25*0.01)*E26*0.01)</f>
        <v>0</v>
      </c>
      <c r="G26" s="81"/>
      <c r="H26" s="81"/>
      <c r="I26" s="245" t="s">
        <v>194</v>
      </c>
      <c r="J26" s="136">
        <f>(($F$23*$F$30)-($F$10*$F$11))/$F$30</f>
        <v>634.42424242424238</v>
      </c>
      <c r="K26" s="136"/>
      <c r="L26" s="280">
        <f>J26*F30</f>
        <v>62807.999999999993</v>
      </c>
      <c r="M26" s="8" t="s">
        <v>236</v>
      </c>
    </row>
    <row r="27" spans="2:21" ht="15" x14ac:dyDescent="0.35">
      <c r="B27" s="8" t="s">
        <v>195</v>
      </c>
      <c r="C27" s="74" t="s">
        <v>109</v>
      </c>
      <c r="D27" s="35">
        <v>4</v>
      </c>
      <c r="E27" s="33">
        <v>0</v>
      </c>
      <c r="F27" s="45">
        <f>O30</f>
        <v>0</v>
      </c>
      <c r="G27" s="81"/>
      <c r="H27" s="81"/>
      <c r="I27" s="81"/>
      <c r="J27" s="81"/>
      <c r="K27" s="81"/>
      <c r="L27" s="81"/>
      <c r="O27" s="75"/>
      <c r="P27" s="75"/>
      <c r="Q27" s="75"/>
      <c r="R27" s="75"/>
      <c r="S27" s="75"/>
      <c r="T27" s="75"/>
    </row>
    <row r="28" spans="2:21" ht="15" x14ac:dyDescent="0.35">
      <c r="B28" s="8" t="s">
        <v>108</v>
      </c>
      <c r="C28" s="10" t="s">
        <v>6</v>
      </c>
      <c r="D28" s="10"/>
      <c r="E28" s="13"/>
      <c r="F28" s="35">
        <v>1</v>
      </c>
      <c r="G28" s="81"/>
      <c r="H28" s="81"/>
      <c r="I28" s="81"/>
      <c r="J28" s="81"/>
      <c r="K28" s="81"/>
      <c r="L28" s="160" t="s">
        <v>110</v>
      </c>
      <c r="M28" s="163"/>
      <c r="N28" s="164"/>
      <c r="O28" s="163"/>
      <c r="P28" s="163"/>
      <c r="Q28" s="165"/>
      <c r="T28" s="90"/>
      <c r="U28" s="63"/>
    </row>
    <row r="29" spans="2:21" ht="15.45" x14ac:dyDescent="0.4">
      <c r="B29" s="76" t="s">
        <v>119</v>
      </c>
      <c r="C29" s="77" t="s">
        <v>6</v>
      </c>
      <c r="D29" s="77"/>
      <c r="E29" s="76"/>
      <c r="F29" s="78">
        <f>SUM(F26:F28)</f>
        <v>1</v>
      </c>
      <c r="G29" s="81"/>
      <c r="H29" s="81"/>
      <c r="I29" s="238"/>
      <c r="J29" s="81"/>
      <c r="K29" s="81"/>
      <c r="L29" s="166">
        <f>D27</f>
        <v>4</v>
      </c>
      <c r="M29" s="167" t="s">
        <v>111</v>
      </c>
      <c r="N29" s="168"/>
      <c r="O29" s="169">
        <f>L29*E27</f>
        <v>0</v>
      </c>
      <c r="P29" s="170" t="s">
        <v>113</v>
      </c>
      <c r="Q29" s="171"/>
      <c r="T29" s="92"/>
      <c r="U29" s="63"/>
    </row>
    <row r="30" spans="2:21" ht="15.45" x14ac:dyDescent="0.4">
      <c r="B30" s="8" t="s">
        <v>116</v>
      </c>
      <c r="C30" s="10" t="s">
        <v>53</v>
      </c>
      <c r="D30" s="10"/>
      <c r="E30" s="126">
        <v>1</v>
      </c>
      <c r="F30" s="282">
        <f>(1-E30*0.01)*F10</f>
        <v>99</v>
      </c>
      <c r="G30" s="81"/>
      <c r="H30" s="81"/>
      <c r="I30" s="23"/>
      <c r="J30" s="81"/>
      <c r="K30" s="81"/>
      <c r="L30" s="172">
        <v>49000</v>
      </c>
      <c r="M30" s="167" t="s">
        <v>112</v>
      </c>
      <c r="N30" s="168"/>
      <c r="O30" s="173">
        <f>O29/L31</f>
        <v>0</v>
      </c>
      <c r="P30" s="170" t="s">
        <v>114</v>
      </c>
      <c r="Q30" s="171"/>
      <c r="T30" s="63"/>
      <c r="U30" s="63"/>
    </row>
    <row r="31" spans="2:21" ht="15.45" x14ac:dyDescent="0.4">
      <c r="B31" s="8" t="s">
        <v>117</v>
      </c>
      <c r="C31" s="10" t="s">
        <v>6</v>
      </c>
      <c r="D31" s="10"/>
      <c r="E31" s="13"/>
      <c r="F31" s="12">
        <f>((F23*F25*0.01)-F29)</f>
        <v>1571.96</v>
      </c>
      <c r="G31" s="62"/>
      <c r="H31" s="62"/>
      <c r="I31" s="239"/>
      <c r="J31" s="238"/>
      <c r="K31" s="238"/>
      <c r="L31" s="174">
        <f>L30/F21</f>
        <v>33.793103448275865</v>
      </c>
      <c r="M31" s="175" t="s">
        <v>115</v>
      </c>
      <c r="N31" s="175"/>
      <c r="O31" s="176">
        <f>(O30/F23)*100</f>
        <v>0</v>
      </c>
      <c r="P31" s="120" t="s">
        <v>4</v>
      </c>
      <c r="Q31" s="121"/>
      <c r="T31" s="63"/>
      <c r="U31" s="63"/>
    </row>
    <row r="32" spans="2:21" ht="15.45" x14ac:dyDescent="0.4">
      <c r="B32" s="8" t="s">
        <v>118</v>
      </c>
      <c r="C32" s="10" t="s">
        <v>4</v>
      </c>
      <c r="D32" s="10"/>
      <c r="E32" s="13"/>
      <c r="F32" s="12">
        <f>(F31/F23)*100</f>
        <v>112.92816091954023</v>
      </c>
      <c r="G32" s="62"/>
      <c r="H32" s="62"/>
      <c r="J32" s="81"/>
      <c r="K32" s="81"/>
      <c r="L32" s="137"/>
      <c r="N32" s="63"/>
      <c r="O32" s="63"/>
      <c r="P32" s="63"/>
      <c r="Q32" s="63"/>
      <c r="R32" s="93"/>
      <c r="S32" s="91"/>
      <c r="T32" s="90"/>
      <c r="U32" s="63"/>
    </row>
    <row r="33" spans="2:26" ht="15.45" x14ac:dyDescent="0.4">
      <c r="B33" s="76" t="s">
        <v>10</v>
      </c>
      <c r="C33" s="77" t="s">
        <v>42</v>
      </c>
      <c r="D33" s="77"/>
      <c r="E33" s="96">
        <f>F33/F30</f>
        <v>1571.96</v>
      </c>
      <c r="F33" s="86">
        <f>(F31*F30)</f>
        <v>155624.04</v>
      </c>
      <c r="G33" s="81"/>
      <c r="H33" s="81"/>
      <c r="I33" s="81"/>
      <c r="J33" s="246"/>
      <c r="K33" s="246"/>
      <c r="L33" s="192"/>
      <c r="M33" s="192"/>
      <c r="N33" s="192"/>
      <c r="O33" s="192"/>
      <c r="P33" s="192"/>
      <c r="Q33" s="192"/>
      <c r="R33" s="192"/>
      <c r="S33" s="192"/>
      <c r="T33" s="192"/>
      <c r="U33" s="113"/>
      <c r="V33" s="192"/>
      <c r="W33" s="192"/>
      <c r="X33" s="192"/>
      <c r="Y33" s="192"/>
      <c r="Z33" s="192"/>
    </row>
    <row r="34" spans="2:26" x14ac:dyDescent="0.3">
      <c r="G34" s="81"/>
      <c r="H34" s="81"/>
      <c r="I34" s="81"/>
      <c r="J34" s="81"/>
      <c r="K34" s="81"/>
    </row>
    <row r="35" spans="2:26" ht="15.45" x14ac:dyDescent="0.4">
      <c r="B35" s="1" t="s">
        <v>128</v>
      </c>
      <c r="C35" s="10"/>
      <c r="D35" s="6" t="s">
        <v>202</v>
      </c>
      <c r="E35" s="97" t="s">
        <v>130</v>
      </c>
      <c r="F35" s="13"/>
      <c r="G35" s="277" t="s">
        <v>252</v>
      </c>
      <c r="H35" s="277"/>
      <c r="I35" s="225" t="s">
        <v>258</v>
      </c>
      <c r="J35" s="271" t="s">
        <v>259</v>
      </c>
      <c r="K35" s="271"/>
      <c r="L35" s="188"/>
    </row>
    <row r="36" spans="2:26" ht="15.45" x14ac:dyDescent="0.4">
      <c r="B36" s="76" t="s">
        <v>201</v>
      </c>
      <c r="C36" s="77" t="s">
        <v>42</v>
      </c>
      <c r="D36" s="143">
        <f>F14</f>
        <v>1083.9795918367347</v>
      </c>
      <c r="E36" s="247">
        <f>F15</f>
        <v>144.53061224489795</v>
      </c>
      <c r="F36" s="96">
        <f>F16</f>
        <v>108397.95918367348</v>
      </c>
      <c r="G36" s="290">
        <f>F36/$F$63</f>
        <v>0.70431730826378891</v>
      </c>
      <c r="H36" s="290"/>
      <c r="I36" s="308">
        <f>((E40/2000))*100</f>
        <v>8.8028169014084519</v>
      </c>
      <c r="J36" s="60">
        <f>((I36/100*56)*$J$37*0.01)</f>
        <v>4.2147887323943669</v>
      </c>
      <c r="K36" s="60"/>
      <c r="L36" s="188"/>
      <c r="M36" s="189" t="s">
        <v>171</v>
      </c>
      <c r="N36" s="118">
        <f>E60</f>
        <v>4.5</v>
      </c>
      <c r="O36" s="113" t="s">
        <v>3</v>
      </c>
      <c r="P36" s="190" t="s">
        <v>43</v>
      </c>
      <c r="Q36" s="230">
        <f>E78</f>
        <v>8</v>
      </c>
      <c r="R36" s="113" t="s">
        <v>3</v>
      </c>
      <c r="S36" s="113"/>
      <c r="T36" s="114"/>
      <c r="U36" s="63"/>
    </row>
    <row r="37" spans="2:26" ht="15.45" x14ac:dyDescent="0.4">
      <c r="B37" s="1"/>
      <c r="C37" s="10"/>
      <c r="E37" s="37"/>
      <c r="F37" s="13"/>
      <c r="G37" s="36"/>
      <c r="H37" s="36"/>
      <c r="I37" s="271" t="s">
        <v>222</v>
      </c>
      <c r="J37" s="343">
        <v>85.5</v>
      </c>
      <c r="K37" s="188" t="s">
        <v>3</v>
      </c>
      <c r="L37" s="191"/>
      <c r="M37" s="189" t="s">
        <v>170</v>
      </c>
      <c r="N37" s="192"/>
      <c r="O37" s="192"/>
      <c r="P37" s="193" t="s">
        <v>56</v>
      </c>
      <c r="Q37" s="189" t="s">
        <v>170</v>
      </c>
      <c r="R37" s="192"/>
      <c r="S37" s="192"/>
      <c r="T37" s="182"/>
      <c r="U37" s="63"/>
    </row>
    <row r="38" spans="2:26" ht="15" x14ac:dyDescent="0.35">
      <c r="B38" s="8" t="s">
        <v>55</v>
      </c>
      <c r="C38" s="407" t="s">
        <v>359</v>
      </c>
      <c r="D38" s="408"/>
      <c r="E38" s="402">
        <v>5.5</v>
      </c>
      <c r="F38" s="36" t="s">
        <v>125</v>
      </c>
      <c r="G38" s="80"/>
      <c r="H38" s="80"/>
      <c r="I38" s="63" t="s">
        <v>260</v>
      </c>
      <c r="J38" s="386">
        <f>F40</f>
        <v>3.5</v>
      </c>
      <c r="K38" s="309">
        <v>44035</v>
      </c>
      <c r="L38" s="191" t="s">
        <v>143</v>
      </c>
      <c r="M38" s="189" t="s">
        <v>151</v>
      </c>
      <c r="N38" s="189" t="s">
        <v>174</v>
      </c>
      <c r="O38" s="192"/>
      <c r="P38" s="192"/>
      <c r="Q38" s="189" t="s">
        <v>151</v>
      </c>
      <c r="R38" s="192"/>
      <c r="S38" s="192"/>
      <c r="T38" s="182"/>
    </row>
    <row r="39" spans="2:26" ht="15" x14ac:dyDescent="0.35">
      <c r="B39" s="68"/>
      <c r="C39" s="69"/>
      <c r="D39" s="10" t="s">
        <v>166</v>
      </c>
      <c r="E39" s="225" t="s">
        <v>221</v>
      </c>
      <c r="F39" s="8" t="s">
        <v>290</v>
      </c>
      <c r="H39" s="374" t="s">
        <v>362</v>
      </c>
      <c r="I39" s="63" t="s">
        <v>256</v>
      </c>
      <c r="J39" s="272">
        <f>((J38/56)*2000)/(J37*0.01)</f>
        <v>146.19883040935673</v>
      </c>
      <c r="K39" s="283"/>
      <c r="L39" s="194">
        <f>M39*$E$60*0.01</f>
        <v>489.93792900078722</v>
      </c>
      <c r="M39" s="195">
        <f>(N39*(F19/365))</f>
        <v>10887.509533350827</v>
      </c>
      <c r="N39" s="196">
        <f>(((SUM($F$42:$F$47)+$F$55)*0.5))</f>
        <v>21572.822461082284</v>
      </c>
      <c r="O39" s="113" t="s">
        <v>58</v>
      </c>
      <c r="P39" s="113"/>
      <c r="Q39" s="197">
        <f>N39*$F$19/365</f>
        <v>10887.509533350829</v>
      </c>
      <c r="R39" s="113"/>
      <c r="S39" s="113"/>
      <c r="T39" s="114"/>
    </row>
    <row r="40" spans="2:26" ht="15" x14ac:dyDescent="0.35">
      <c r="B40" s="8" t="s">
        <v>72</v>
      </c>
      <c r="C40" s="10" t="s">
        <v>51</v>
      </c>
      <c r="D40" s="67">
        <f>((J26*E38)/2000)</f>
        <v>1.7446666666666666</v>
      </c>
      <c r="E40" s="345">
        <f>J43</f>
        <v>176.05633802816902</v>
      </c>
      <c r="F40" s="128">
        <v>3.5</v>
      </c>
      <c r="G40" s="24"/>
      <c r="H40" s="60">
        <f>F40/56*100</f>
        <v>6.25</v>
      </c>
      <c r="I40" s="63" t="s">
        <v>237</v>
      </c>
      <c r="J40" s="283">
        <f>((E40-J39)/J39)</f>
        <v>0.20422535211267606</v>
      </c>
      <c r="K40" s="269"/>
      <c r="L40" s="198"/>
      <c r="M40" s="189"/>
      <c r="N40" s="199">
        <f>$N$39*$D$60*0.01</f>
        <v>17258.257968865826</v>
      </c>
      <c r="O40" s="113" t="s">
        <v>59</v>
      </c>
      <c r="P40" s="113"/>
      <c r="Q40" s="113"/>
      <c r="R40" s="113"/>
      <c r="S40" s="113"/>
      <c r="T40" s="114"/>
    </row>
    <row r="41" spans="2:26" ht="15.45" x14ac:dyDescent="0.4">
      <c r="B41" s="8"/>
      <c r="C41" s="10"/>
      <c r="D41" s="10" t="s">
        <v>33</v>
      </c>
      <c r="E41" s="10" t="s">
        <v>203</v>
      </c>
      <c r="F41" s="13"/>
      <c r="G41" s="19"/>
      <c r="H41" s="19"/>
      <c r="I41" s="328" t="s">
        <v>257</v>
      </c>
      <c r="J41" s="329">
        <f>E40/J39</f>
        <v>1.204225352112676</v>
      </c>
      <c r="L41" s="200" t="s">
        <v>226</v>
      </c>
      <c r="M41" s="189"/>
      <c r="N41" s="199">
        <f>N39-N40</f>
        <v>4314.5644922164574</v>
      </c>
      <c r="O41" s="113" t="s">
        <v>60</v>
      </c>
      <c r="P41" s="113"/>
      <c r="Q41" s="113"/>
      <c r="R41" s="113"/>
      <c r="S41" s="113"/>
      <c r="T41" s="114"/>
    </row>
    <row r="42" spans="2:26" ht="15" x14ac:dyDescent="0.35">
      <c r="B42" s="289" t="s">
        <v>246</v>
      </c>
      <c r="C42" s="15" t="s">
        <v>13</v>
      </c>
      <c r="D42" s="103">
        <f>J25</f>
        <v>628.08000000000004</v>
      </c>
      <c r="E42" s="18">
        <f>(E40/2000)*$E$38</f>
        <v>0.48415492957746481</v>
      </c>
      <c r="F42" s="36">
        <f>((($I$24*$E$38)/2000)*E40)</f>
        <v>30408.802816901411</v>
      </c>
      <c r="G42" s="290">
        <f t="shared" ref="G42:G48" si="0">F42/$F$63</f>
        <v>0.19758163630399919</v>
      </c>
      <c r="H42" s="290"/>
      <c r="L42" s="297">
        <f>F42/L26*100</f>
        <v>48.415492957746487</v>
      </c>
      <c r="M42" s="189"/>
      <c r="N42" s="201" t="s">
        <v>177</v>
      </c>
      <c r="O42" s="113"/>
      <c r="P42" s="113"/>
      <c r="Q42" s="201" t="s">
        <v>66</v>
      </c>
      <c r="R42" s="113"/>
      <c r="S42" s="113"/>
      <c r="T42" s="114"/>
    </row>
    <row r="43" spans="2:26" ht="15.45" x14ac:dyDescent="0.4">
      <c r="B43" s="14" t="s">
        <v>120</v>
      </c>
      <c r="C43" s="15" t="s">
        <v>50</v>
      </c>
      <c r="D43" s="48">
        <f>F19</f>
        <v>184.21052631578948</v>
      </c>
      <c r="E43" s="47">
        <v>0.42</v>
      </c>
      <c r="F43" s="36">
        <f>D43*E43*$F$10</f>
        <v>7736.8421052631575</v>
      </c>
      <c r="G43" s="290">
        <f t="shared" si="0"/>
        <v>5.0270243527441159E-2</v>
      </c>
      <c r="H43" s="290"/>
      <c r="I43" s="7" t="s">
        <v>291</v>
      </c>
      <c r="J43" s="44">
        <f>(($J$38/56)*2000)/0.71</f>
        <v>176.05633802816902</v>
      </c>
      <c r="K43" t="s">
        <v>344</v>
      </c>
      <c r="L43" s="298">
        <f>L42/D84</f>
        <v>0.66822185344642582</v>
      </c>
      <c r="M43" s="189"/>
      <c r="N43" s="202">
        <f>($N$40*$E$60*0.01*($F$19/365))/($N$39)*100</f>
        <v>1.8168709444844988</v>
      </c>
      <c r="O43" s="113" t="s">
        <v>3</v>
      </c>
      <c r="P43" s="113"/>
      <c r="Q43" s="202">
        <f>($Q$36*($F$19/365))</f>
        <v>4.0374909877433307</v>
      </c>
      <c r="R43" s="113" t="s">
        <v>3</v>
      </c>
      <c r="S43" s="113"/>
      <c r="T43" s="114"/>
    </row>
    <row r="44" spans="2:26" ht="15" x14ac:dyDescent="0.35">
      <c r="B44" s="285" t="s">
        <v>241</v>
      </c>
      <c r="C44" s="27" t="s">
        <v>12</v>
      </c>
      <c r="D44" s="236">
        <v>1</v>
      </c>
      <c r="E44" s="47">
        <v>20</v>
      </c>
      <c r="F44" s="36">
        <f>(D44*E44*$F$10)</f>
        <v>2000</v>
      </c>
      <c r="G44" s="290">
        <f t="shared" si="0"/>
        <v>1.2995028939066422E-2</v>
      </c>
      <c r="H44" s="290"/>
      <c r="K44" s="403" t="s">
        <v>363</v>
      </c>
      <c r="L44" s="203"/>
      <c r="M44" s="189"/>
      <c r="N44" s="204">
        <f>$N$39*$N$43*0.01</f>
        <v>391.95034320062979</v>
      </c>
      <c r="O44" s="273" t="s">
        <v>231</v>
      </c>
      <c r="P44" s="113"/>
      <c r="Q44" s="219">
        <f>(((SUM($F$42:$F$47)+F55)*0.5*$Q$43*0.01))</f>
        <v>871.00076266806616</v>
      </c>
      <c r="R44" s="113" t="s">
        <v>134</v>
      </c>
      <c r="S44" s="113"/>
      <c r="T44" s="114"/>
    </row>
    <row r="45" spans="2:26" ht="15" x14ac:dyDescent="0.35">
      <c r="B45" s="285" t="s">
        <v>242</v>
      </c>
      <c r="C45" s="235" t="s">
        <v>12</v>
      </c>
      <c r="D45" s="236">
        <v>1</v>
      </c>
      <c r="E45" s="47">
        <v>0</v>
      </c>
      <c r="F45" s="36">
        <f>(D45*E45*$F$10)</f>
        <v>0</v>
      </c>
      <c r="G45" s="290">
        <f t="shared" si="0"/>
        <v>0</v>
      </c>
      <c r="H45" s="290"/>
      <c r="I45" s="271" t="s">
        <v>343</v>
      </c>
      <c r="J45" s="128">
        <v>200</v>
      </c>
      <c r="K45" s="60">
        <f>D43*J47</f>
        <v>82.894736842105274</v>
      </c>
      <c r="M45" s="189"/>
      <c r="N45" s="205"/>
      <c r="O45" s="113"/>
      <c r="P45" s="113"/>
      <c r="Q45" s="113"/>
      <c r="R45" s="113"/>
      <c r="S45" s="113"/>
      <c r="T45" s="114"/>
    </row>
    <row r="46" spans="2:26" ht="15" x14ac:dyDescent="0.35">
      <c r="B46" s="16" t="s">
        <v>289</v>
      </c>
      <c r="C46" s="51" t="s">
        <v>12</v>
      </c>
      <c r="D46" s="49">
        <v>1</v>
      </c>
      <c r="E46" s="47">
        <v>5</v>
      </c>
      <c r="F46" s="36">
        <f>(D46*E46*$F$10)</f>
        <v>500</v>
      </c>
      <c r="G46" s="290">
        <f t="shared" si="0"/>
        <v>3.2487572347666056E-3</v>
      </c>
      <c r="H46" s="290"/>
      <c r="J46" s="24" t="s">
        <v>346</v>
      </c>
      <c r="K46" t="s">
        <v>67</v>
      </c>
      <c r="L46" s="198"/>
      <c r="M46" s="189"/>
      <c r="N46" s="205"/>
      <c r="O46" s="113"/>
      <c r="P46" s="113"/>
      <c r="Q46" s="113" t="s">
        <v>172</v>
      </c>
      <c r="R46" s="113"/>
      <c r="S46" s="113"/>
      <c r="T46" s="114"/>
    </row>
    <row r="47" spans="2:26" ht="15" x14ac:dyDescent="0.35">
      <c r="B47" s="17" t="s">
        <v>121</v>
      </c>
      <c r="C47" s="51" t="s">
        <v>12</v>
      </c>
      <c r="D47" s="49">
        <v>1</v>
      </c>
      <c r="E47" s="47">
        <v>0</v>
      </c>
      <c r="F47" s="36">
        <f>(D47*E47*$F$10)</f>
        <v>0</v>
      </c>
      <c r="G47" s="290">
        <f t="shared" si="0"/>
        <v>0</v>
      </c>
      <c r="H47" s="290"/>
      <c r="I47" t="s">
        <v>345</v>
      </c>
      <c r="J47" s="128">
        <v>0.45</v>
      </c>
      <c r="K47" s="23">
        <f>((J45*D40)+K45)/D40</f>
        <v>247.51322325684293</v>
      </c>
      <c r="L47" s="194">
        <f>M47*$E$60*0.01</f>
        <v>2461.8137810279122</v>
      </c>
      <c r="M47" s="195">
        <f>(($F$19/365)*N47)</f>
        <v>54706.972911731384</v>
      </c>
      <c r="N47" s="205">
        <f>($F$15*$F$10*$F$11*0.01)</f>
        <v>108397.95918367348</v>
      </c>
      <c r="O47" s="113" t="s">
        <v>57</v>
      </c>
      <c r="P47" s="113"/>
      <c r="Q47" s="206">
        <f>N47*$F$19/365</f>
        <v>54706.972911731391</v>
      </c>
      <c r="R47" s="113"/>
      <c r="S47" s="192"/>
      <c r="T47" s="114"/>
    </row>
    <row r="48" spans="2:26" ht="15.45" x14ac:dyDescent="0.4">
      <c r="B48" s="138" t="s">
        <v>183</v>
      </c>
      <c r="C48" s="139"/>
      <c r="D48" s="288"/>
      <c r="E48" s="86">
        <f>F48/F10</f>
        <v>1490.4360410583804</v>
      </c>
      <c r="F48" s="86">
        <f>SUM(F42:F47)+F36</f>
        <v>149043.60410583805</v>
      </c>
      <c r="G48" s="290">
        <f t="shared" si="0"/>
        <v>0.96841297426906225</v>
      </c>
      <c r="H48" s="290"/>
      <c r="L48" s="198"/>
      <c r="M48" s="189"/>
      <c r="N48" s="207">
        <f>N47*$D$60*0.01</f>
        <v>86718.367346938772</v>
      </c>
      <c r="O48" s="113" t="s">
        <v>59</v>
      </c>
      <c r="P48" s="113"/>
      <c r="Q48" s="197">
        <f>Q39+Q47</f>
        <v>65594.48244508222</v>
      </c>
      <c r="R48" s="113" t="s">
        <v>11</v>
      </c>
      <c r="S48" s="208"/>
      <c r="T48" s="114"/>
    </row>
    <row r="49" spans="2:21" ht="15.45" x14ac:dyDescent="0.4">
      <c r="B49" s="291"/>
      <c r="C49" s="292"/>
      <c r="D49" s="293"/>
      <c r="E49" s="70"/>
      <c r="F49" s="70"/>
      <c r="G49" s="294"/>
      <c r="H49" s="294"/>
      <c r="I49" s="284" t="s">
        <v>239</v>
      </c>
      <c r="L49" s="198"/>
      <c r="M49" s="189"/>
      <c r="N49" s="207"/>
      <c r="O49" s="113"/>
      <c r="P49" s="113"/>
      <c r="Q49" s="197"/>
      <c r="R49" s="113"/>
      <c r="S49" s="208"/>
      <c r="T49" s="114"/>
    </row>
    <row r="50" spans="2:21" ht="15.45" x14ac:dyDescent="0.4">
      <c r="B50" s="87" t="s">
        <v>247</v>
      </c>
      <c r="C50" s="51"/>
      <c r="D50" s="49"/>
      <c r="E50" s="47"/>
      <c r="F50" s="36">
        <f>F48-F36</f>
        <v>40645.644922164574</v>
      </c>
      <c r="G50" s="290">
        <f>F50/$F$63</f>
        <v>0.2640956660052734</v>
      </c>
      <c r="H50" s="290"/>
      <c r="I50" s="284" t="s">
        <v>261</v>
      </c>
      <c r="L50" s="198"/>
      <c r="M50" s="189"/>
      <c r="N50" s="207">
        <f>N47-N48</f>
        <v>21679.591836734704</v>
      </c>
      <c r="O50" s="113" t="s">
        <v>60</v>
      </c>
      <c r="P50" s="113"/>
      <c r="Q50" s="113"/>
      <c r="R50" s="113"/>
      <c r="S50" s="113"/>
      <c r="T50" s="114"/>
    </row>
    <row r="51" spans="2:21" ht="15.45" x14ac:dyDescent="0.4">
      <c r="B51" s="87"/>
      <c r="C51" s="51"/>
      <c r="D51" s="49"/>
      <c r="E51" s="47"/>
      <c r="F51" s="36"/>
      <c r="G51" s="290"/>
      <c r="H51" s="290"/>
      <c r="I51" s="36"/>
      <c r="L51" s="198"/>
      <c r="M51" s="189"/>
      <c r="N51" s="207"/>
      <c r="O51" s="113"/>
      <c r="P51" s="113"/>
      <c r="Q51" s="113"/>
      <c r="R51" s="113"/>
      <c r="S51" s="113"/>
      <c r="T51" s="114"/>
    </row>
    <row r="52" spans="2:21" ht="15.45" x14ac:dyDescent="0.4">
      <c r="B52" s="87" t="s">
        <v>351</v>
      </c>
      <c r="C52" s="51"/>
      <c r="D52" s="10" t="s">
        <v>1</v>
      </c>
      <c r="E52" s="19" t="s">
        <v>6</v>
      </c>
      <c r="F52" s="36"/>
      <c r="G52" s="36"/>
      <c r="H52" s="36"/>
      <c r="I52" s="36"/>
      <c r="L52" s="198"/>
      <c r="M52" s="192"/>
      <c r="N52" s="209">
        <f>($F$15*$F$10*$F$11*0.01)*$N$43*0.01</f>
        <v>1969.4510248223301</v>
      </c>
      <c r="O52" s="113" t="s">
        <v>63</v>
      </c>
      <c r="P52" s="113"/>
      <c r="Q52" s="218">
        <f>($F$15*$F$10*$F$11*0.01)*$Q$43*0.01</f>
        <v>4376.5578329385107</v>
      </c>
      <c r="R52" s="113" t="s">
        <v>57</v>
      </c>
      <c r="S52" s="113"/>
      <c r="T52" s="114"/>
    </row>
    <row r="53" spans="2:21" ht="15" x14ac:dyDescent="0.35">
      <c r="B53" s="17" t="s">
        <v>126</v>
      </c>
      <c r="C53" s="235" t="s">
        <v>12</v>
      </c>
      <c r="D53" s="236">
        <f>F$10</f>
        <v>100</v>
      </c>
      <c r="E53" s="47">
        <v>5</v>
      </c>
      <c r="F53" s="36">
        <f>(D53*E53)</f>
        <v>500</v>
      </c>
      <c r="G53" s="36"/>
      <c r="H53" s="36"/>
      <c r="I53" s="36"/>
      <c r="L53" s="198"/>
      <c r="M53" s="192"/>
      <c r="N53" s="207"/>
      <c r="O53" s="113"/>
      <c r="P53" s="113"/>
      <c r="Q53" s="113"/>
      <c r="R53" s="113"/>
      <c r="S53" s="113"/>
      <c r="T53" s="114"/>
    </row>
    <row r="54" spans="2:21" ht="15" x14ac:dyDescent="0.35">
      <c r="B54" s="17" t="s">
        <v>127</v>
      </c>
      <c r="C54" s="235" t="s">
        <v>12</v>
      </c>
      <c r="D54" s="236">
        <f>F$10</f>
        <v>100</v>
      </c>
      <c r="E54" s="47">
        <v>20</v>
      </c>
      <c r="F54" s="36">
        <f>(D54*E54)</f>
        <v>2000</v>
      </c>
      <c r="G54" s="36"/>
      <c r="H54" s="36"/>
      <c r="I54" s="36"/>
      <c r="L54" s="198"/>
      <c r="M54" s="192"/>
      <c r="N54" s="210">
        <f>(N44+N52)</f>
        <v>2361.40136802296</v>
      </c>
      <c r="O54" s="113" t="s">
        <v>44</v>
      </c>
      <c r="P54" s="113"/>
      <c r="Q54" s="211">
        <f>(Q44+Q52)</f>
        <v>5247.558595606577</v>
      </c>
      <c r="R54" s="113" t="s">
        <v>44</v>
      </c>
      <c r="S54" s="113"/>
      <c r="T54" s="114"/>
    </row>
    <row r="55" spans="2:21" ht="15.45" x14ac:dyDescent="0.4">
      <c r="B55" s="87" t="s">
        <v>351</v>
      </c>
      <c r="C55" s="140"/>
      <c r="D55" s="141"/>
      <c r="E55" s="148">
        <f>F55/F10</f>
        <v>25</v>
      </c>
      <c r="F55" s="86">
        <f>F53+F54</f>
        <v>2500</v>
      </c>
      <c r="G55" s="290">
        <f>F55/$F$63</f>
        <v>1.6243786173833027E-2</v>
      </c>
      <c r="H55" s="36"/>
      <c r="I55" s="7"/>
      <c r="L55" s="194">
        <f>L39+L47</f>
        <v>2951.7517100286996</v>
      </c>
      <c r="M55" s="189" t="s">
        <v>176</v>
      </c>
      <c r="N55" s="212"/>
      <c r="O55" s="113"/>
      <c r="P55" s="113"/>
      <c r="Q55" s="113"/>
      <c r="R55" s="113"/>
      <c r="S55" s="113"/>
      <c r="T55" s="114"/>
      <c r="U55" s="63"/>
    </row>
    <row r="56" spans="2:21" ht="15.45" x14ac:dyDescent="0.4">
      <c r="B56" s="87"/>
      <c r="C56" s="28"/>
      <c r="D56" s="222" t="s">
        <v>205</v>
      </c>
      <c r="E56" s="222" t="s">
        <v>133</v>
      </c>
      <c r="F56" s="7"/>
      <c r="G56" s="36"/>
      <c r="H56" s="36"/>
      <c r="I56" s="36"/>
      <c r="L56" s="198"/>
      <c r="M56" s="213">
        <f>M47+M39</f>
        <v>65594.482445082205</v>
      </c>
      <c r="N56" s="212">
        <f>N40+N48</f>
        <v>103976.6253158046</v>
      </c>
      <c r="O56" s="201" t="s">
        <v>175</v>
      </c>
      <c r="P56" s="113"/>
      <c r="Q56" s="113"/>
      <c r="R56" s="113"/>
      <c r="S56" s="113"/>
      <c r="T56" s="114"/>
      <c r="U56" s="63"/>
    </row>
    <row r="57" spans="2:21" ht="15.45" x14ac:dyDescent="0.4">
      <c r="B57" s="76" t="s">
        <v>131</v>
      </c>
      <c r="C57" s="77"/>
      <c r="D57" s="248">
        <f>(F57/L23)*100</f>
        <v>109.96720372245301</v>
      </c>
      <c r="E57" s="86">
        <f>F57/$F$30</f>
        <v>1530.7434758165459</v>
      </c>
      <c r="F57" s="86">
        <f>F48+F55</f>
        <v>151543.60410583805</v>
      </c>
      <c r="G57" s="290">
        <f>F57/$F$63</f>
        <v>0.9846567604428953</v>
      </c>
      <c r="H57" s="290"/>
      <c r="I57" s="7"/>
      <c r="L57" s="198"/>
      <c r="M57" s="192"/>
      <c r="N57" s="212"/>
      <c r="O57" s="201"/>
      <c r="P57" s="113"/>
      <c r="Q57" s="113"/>
      <c r="R57" s="113"/>
      <c r="S57" s="113"/>
      <c r="T57" s="114"/>
      <c r="U57" s="63"/>
    </row>
    <row r="58" spans="2:21" ht="15.45" x14ac:dyDescent="0.4">
      <c r="C58" s="8"/>
      <c r="D58" s="8"/>
      <c r="E58" s="6"/>
      <c r="F58" s="187" t="s">
        <v>179</v>
      </c>
      <c r="I58" s="40" t="s">
        <v>180</v>
      </c>
      <c r="J58" s="40" t="s">
        <v>180</v>
      </c>
      <c r="K58" s="40"/>
      <c r="L58" s="198"/>
      <c r="M58" s="214" t="s">
        <v>151</v>
      </c>
      <c r="N58" s="212">
        <f>N41+N50</f>
        <v>25994.156328951161</v>
      </c>
      <c r="O58" s="201" t="s">
        <v>64</v>
      </c>
      <c r="P58" s="113"/>
      <c r="Q58" s="113"/>
      <c r="R58" s="113"/>
      <c r="S58" s="113"/>
      <c r="T58" s="114"/>
      <c r="U58" s="63"/>
    </row>
    <row r="59" spans="2:21" ht="15" x14ac:dyDescent="0.35">
      <c r="B59" s="8" t="s">
        <v>168</v>
      </c>
      <c r="C59" s="8"/>
      <c r="D59" s="8" t="s">
        <v>45</v>
      </c>
      <c r="E59" s="19" t="s">
        <v>143</v>
      </c>
      <c r="F59" s="40" t="s">
        <v>169</v>
      </c>
      <c r="I59" s="40" t="s">
        <v>169</v>
      </c>
      <c r="J59" s="24" t="s">
        <v>59</v>
      </c>
      <c r="K59" s="24"/>
      <c r="L59" s="215">
        <f>M59*$E$60*0.01</f>
        <v>2951.7517100286991</v>
      </c>
      <c r="M59" s="216">
        <f>M39+M47</f>
        <v>65594.482445082205</v>
      </c>
      <c r="N59" s="217">
        <f>N56+N58</f>
        <v>129970.78164475577</v>
      </c>
      <c r="O59" s="184" t="s">
        <v>65</v>
      </c>
      <c r="P59" s="120"/>
      <c r="Q59" s="120"/>
      <c r="R59" s="120"/>
      <c r="S59" s="120"/>
      <c r="T59" s="121"/>
      <c r="U59" s="63"/>
    </row>
    <row r="60" spans="2:21" ht="15" x14ac:dyDescent="0.35">
      <c r="B60" s="8" t="s">
        <v>167</v>
      </c>
      <c r="C60" s="10"/>
      <c r="D60" s="11">
        <v>80</v>
      </c>
      <c r="E60" s="46">
        <v>4.5</v>
      </c>
      <c r="F60" s="221">
        <f>M59</f>
        <v>65594.482445082205</v>
      </c>
      <c r="I60" s="158">
        <f>F60/F10</f>
        <v>655.94482445082201</v>
      </c>
      <c r="J60" s="220">
        <f>I60*D60*0.01</f>
        <v>524.75585956065765</v>
      </c>
      <c r="K60" s="220"/>
      <c r="Q60" s="63"/>
      <c r="R60" s="63"/>
      <c r="S60" s="63"/>
      <c r="T60" s="63"/>
      <c r="U60" s="63"/>
    </row>
    <row r="61" spans="2:21" ht="15.45" x14ac:dyDescent="0.4">
      <c r="B61" s="76" t="s">
        <v>132</v>
      </c>
      <c r="C61" s="77"/>
      <c r="D61" s="142"/>
      <c r="E61" s="148">
        <f>F61/$F$30</f>
        <v>23.852539070938992</v>
      </c>
      <c r="F61" s="96">
        <f>N54</f>
        <v>2361.40136802296</v>
      </c>
      <c r="G61" s="290">
        <f>F61/$F$63</f>
        <v>1.5343239557104702E-2</v>
      </c>
      <c r="H61" s="290"/>
      <c r="I61" s="106"/>
      <c r="L61" s="159"/>
      <c r="N61" s="94"/>
      <c r="O61" s="63"/>
      <c r="P61" s="63"/>
      <c r="Q61" s="63"/>
      <c r="R61" s="63"/>
      <c r="U61" s="63"/>
    </row>
    <row r="62" spans="2:21" ht="15.45" x14ac:dyDescent="0.4">
      <c r="B62" s="1"/>
      <c r="C62" s="1"/>
      <c r="D62" s="6" t="s">
        <v>205</v>
      </c>
      <c r="E62" s="6"/>
      <c r="L62" s="108" t="s">
        <v>67</v>
      </c>
      <c r="M62" s="110"/>
      <c r="N62" s="110" t="s">
        <v>136</v>
      </c>
      <c r="O62" s="111" t="s">
        <v>137</v>
      </c>
      <c r="P62" s="63"/>
      <c r="Q62" s="98"/>
      <c r="R62" s="63"/>
      <c r="U62" s="63"/>
    </row>
    <row r="63" spans="2:21" ht="15.45" x14ac:dyDescent="0.4">
      <c r="B63" s="76" t="s">
        <v>181</v>
      </c>
      <c r="C63" s="76"/>
      <c r="D63" s="143">
        <f>F63/$J$103*100</f>
        <v>111.68074819594</v>
      </c>
      <c r="E63" s="86">
        <f>F63/$F$30</f>
        <v>1554.5960148874849</v>
      </c>
      <c r="F63" s="96">
        <f>F57+F61</f>
        <v>153905.00547386101</v>
      </c>
      <c r="G63" s="290">
        <f>F63/$F$63</f>
        <v>1</v>
      </c>
      <c r="H63" s="290"/>
      <c r="I63" s="106"/>
      <c r="L63" s="177" t="s">
        <v>68</v>
      </c>
      <c r="M63" s="113"/>
      <c r="N63" s="178">
        <f>F42+F43</f>
        <v>38145.644922164567</v>
      </c>
      <c r="O63" s="179">
        <f>E38*I24</f>
        <v>345444</v>
      </c>
      <c r="P63" s="63"/>
      <c r="Q63" s="63"/>
      <c r="R63" s="63"/>
      <c r="U63" s="63"/>
    </row>
    <row r="64" spans="2:21" ht="15.45" x14ac:dyDescent="0.4">
      <c r="B64" s="1"/>
      <c r="C64" s="1"/>
      <c r="D64" s="44"/>
      <c r="E64" s="222" t="s">
        <v>133</v>
      </c>
      <c r="F64" s="88"/>
      <c r="L64" s="177" t="s">
        <v>69</v>
      </c>
      <c r="M64" s="113"/>
      <c r="N64" s="180">
        <f>F42</f>
        <v>30408.802816901411</v>
      </c>
      <c r="O64" s="350">
        <f>((N64/($O$63/2000)))</f>
        <v>176.05633802816902</v>
      </c>
      <c r="P64" s="63"/>
      <c r="Q64" s="63"/>
      <c r="R64" s="63"/>
      <c r="U64" s="63"/>
    </row>
    <row r="65" spans="2:21" ht="15.45" x14ac:dyDescent="0.4">
      <c r="B65" s="76" t="s">
        <v>62</v>
      </c>
      <c r="C65" s="77"/>
      <c r="D65" s="325">
        <f>F65/$J$103*100</f>
        <v>1.2474127236002246</v>
      </c>
      <c r="E65" s="325">
        <f>F65/F30</f>
        <v>17.363985112515127</v>
      </c>
      <c r="F65" s="311">
        <f>$F$33-$F$57-$F$61</f>
        <v>1719.0345261389975</v>
      </c>
      <c r="G65" s="290">
        <f>F65/$F$63</f>
        <v>1.1169451707215304E-2</v>
      </c>
      <c r="H65" s="290"/>
      <c r="L65" s="177" t="s">
        <v>70</v>
      </c>
      <c r="M65" s="113"/>
      <c r="N65" s="180">
        <f>F43</f>
        <v>7736.8421052631575</v>
      </c>
      <c r="O65" s="181">
        <f>((N65/($O$63/2000)))</f>
        <v>44.793611151232369</v>
      </c>
      <c r="P65" s="63"/>
      <c r="Q65" s="63"/>
      <c r="R65" s="63"/>
      <c r="U65" s="63"/>
    </row>
    <row r="66" spans="2:21" ht="15.45" x14ac:dyDescent="0.4">
      <c r="B66" s="21" t="s">
        <v>178</v>
      </c>
      <c r="C66" s="21"/>
      <c r="D66" s="21"/>
      <c r="E66" s="21"/>
      <c r="F66" s="21"/>
      <c r="G66" s="2"/>
      <c r="H66" s="2"/>
      <c r="I66" s="21"/>
      <c r="L66" s="177" t="s">
        <v>71</v>
      </c>
      <c r="M66" s="113"/>
      <c r="N66" s="180">
        <f>N64+N65</f>
        <v>38145.644922164567</v>
      </c>
      <c r="O66" s="182"/>
      <c r="P66" s="63"/>
      <c r="Q66" s="63"/>
      <c r="R66" s="63"/>
      <c r="S66" s="63"/>
      <c r="T66" s="63"/>
      <c r="U66" s="63"/>
    </row>
    <row r="67" spans="2:21" ht="15.45" x14ac:dyDescent="0.4">
      <c r="B67" s="76" t="s">
        <v>139</v>
      </c>
      <c r="C67" s="145"/>
      <c r="D67" s="142"/>
      <c r="E67" s="146"/>
      <c r="F67" s="223">
        <f>(($F$61+$F$65)/((($F$57-$F$36)*0.5+$F$36)*($F$19/365)))</f>
        <v>6.2206998852048688E-2</v>
      </c>
      <c r="L67" s="177"/>
      <c r="M67" s="113"/>
      <c r="N67" s="180"/>
      <c r="O67" s="182"/>
      <c r="P67" s="63"/>
      <c r="Q67" s="63"/>
      <c r="R67" s="63"/>
      <c r="S67" s="63"/>
      <c r="T67" s="63"/>
      <c r="U67" s="63"/>
    </row>
    <row r="68" spans="2:21" ht="15.45" x14ac:dyDescent="0.4">
      <c r="B68" s="1" t="s">
        <v>54</v>
      </c>
      <c r="C68" s="19"/>
      <c r="D68" s="8"/>
      <c r="F68" s="224">
        <f>IF(J78=0,"Zero Equity",J79*0.01)</f>
        <v>0.13103499426024345</v>
      </c>
      <c r="I68" s="21"/>
      <c r="L68" s="177"/>
      <c r="M68" s="113"/>
      <c r="N68" s="180"/>
      <c r="O68" s="182"/>
      <c r="P68" s="63"/>
      <c r="Q68" s="63"/>
      <c r="R68" s="63"/>
      <c r="S68" s="63"/>
      <c r="T68" s="63"/>
      <c r="U68" s="63"/>
    </row>
    <row r="69" spans="2:21" ht="15.45" x14ac:dyDescent="0.4">
      <c r="B69" s="249"/>
      <c r="C69" s="249"/>
      <c r="D69" s="249"/>
      <c r="E69" s="249"/>
      <c r="F69" s="249"/>
      <c r="G69" s="73"/>
      <c r="H69" s="352" t="s">
        <v>311</v>
      </c>
      <c r="I69" s="249"/>
      <c r="L69" s="177"/>
      <c r="M69" s="113"/>
      <c r="N69" s="180"/>
      <c r="O69" s="182"/>
      <c r="P69" s="63"/>
      <c r="Q69" s="63"/>
      <c r="R69" s="63"/>
      <c r="S69" s="63"/>
      <c r="T69" s="63"/>
      <c r="U69" s="63"/>
    </row>
    <row r="70" spans="2:21" ht="17.600000000000001" x14ac:dyDescent="0.4">
      <c r="B70" s="388" t="s">
        <v>292</v>
      </c>
      <c r="C70" s="389"/>
      <c r="D70" s="390"/>
      <c r="E70" s="391" t="s">
        <v>4</v>
      </c>
      <c r="F70" s="392">
        <f>((($F$63+($F$29-$F$26)*$F$30)/($F$23*$F$30))*100)/(1-$E$26*0.01)</f>
        <v>111.75258727639978</v>
      </c>
      <c r="G70" s="251"/>
      <c r="H70" s="351">
        <f>$F$23*$F$30</f>
        <v>137808</v>
      </c>
      <c r="I70" s="242"/>
      <c r="L70" s="183" t="s">
        <v>173</v>
      </c>
      <c r="M70" s="184"/>
      <c r="N70" s="185"/>
      <c r="O70" s="186">
        <f>((N66/($O$63/2000)))</f>
        <v>220.84994917940139</v>
      </c>
      <c r="P70" s="63"/>
      <c r="T70" s="63"/>
      <c r="U70" s="63"/>
    </row>
    <row r="71" spans="2:21" ht="15.45" x14ac:dyDescent="0.4">
      <c r="B71" s="240"/>
      <c r="C71" s="84"/>
      <c r="D71" s="245"/>
      <c r="E71" s="84"/>
      <c r="F71" s="250"/>
      <c r="G71" s="251"/>
      <c r="H71" s="251">
        <f>(1-($E$26*0.01))</f>
        <v>1</v>
      </c>
      <c r="I71" s="242"/>
      <c r="L71" s="201"/>
      <c r="M71" s="201"/>
      <c r="N71" s="226"/>
      <c r="O71" s="227"/>
      <c r="P71" s="63"/>
      <c r="T71" s="63"/>
      <c r="U71" s="63"/>
    </row>
    <row r="72" spans="2:21" ht="15.45" x14ac:dyDescent="0.4">
      <c r="B72" s="387" t="s">
        <v>274</v>
      </c>
      <c r="C72" s="77"/>
      <c r="D72" s="142" t="s">
        <v>190</v>
      </c>
      <c r="E72" s="323">
        <v>63</v>
      </c>
      <c r="F72" s="144">
        <f>((F70/(E72*0.01)))</f>
        <v>177.38505916888855</v>
      </c>
      <c r="G72" s="251"/>
      <c r="H72" s="353">
        <f>H70*H71</f>
        <v>137808</v>
      </c>
      <c r="I72" s="242" t="s">
        <v>312</v>
      </c>
      <c r="L72" s="201"/>
      <c r="M72" s="201"/>
      <c r="N72" s="226"/>
      <c r="O72" s="227"/>
      <c r="P72" s="63"/>
      <c r="T72" s="63"/>
      <c r="U72" s="63"/>
    </row>
    <row r="73" spans="2:21" ht="17.600000000000001" x14ac:dyDescent="0.4">
      <c r="B73" s="240"/>
      <c r="C73" s="84"/>
      <c r="D73" s="245"/>
      <c r="E73" s="252"/>
      <c r="F73" s="250"/>
      <c r="G73" s="251"/>
      <c r="H73" s="355"/>
      <c r="I73" s="242"/>
      <c r="L73" s="201"/>
      <c r="M73" s="201"/>
      <c r="N73" s="226"/>
      <c r="O73" s="227"/>
      <c r="P73" s="63"/>
      <c r="T73" s="63"/>
      <c r="U73" s="63"/>
    </row>
    <row r="74" spans="2:21" ht="17.600000000000001" x14ac:dyDescent="0.4">
      <c r="B74" s="76" t="s">
        <v>277</v>
      </c>
      <c r="C74" s="146"/>
      <c r="D74" s="77" t="s">
        <v>4</v>
      </c>
      <c r="E74" s="146"/>
      <c r="F74" s="143">
        <f>((F33+F36-F63-(F13*F10))/((F10*F11))*100)</f>
        <v>145.29204603485198</v>
      </c>
      <c r="G74" s="254"/>
      <c r="H74" s="356"/>
      <c r="I74" s="253"/>
      <c r="J74" s="63"/>
      <c r="K74" s="63"/>
      <c r="L74" s="63"/>
      <c r="M74" s="63"/>
      <c r="O74" s="63"/>
      <c r="T74" s="63"/>
      <c r="U74" s="63"/>
    </row>
    <row r="75" spans="2:21" ht="17.600000000000001" x14ac:dyDescent="0.4">
      <c r="B75" s="255"/>
      <c r="C75" s="81"/>
      <c r="D75" s="81"/>
      <c r="E75" s="81"/>
      <c r="F75" s="81"/>
      <c r="G75" s="81"/>
      <c r="H75" s="357"/>
      <c r="I75" s="81"/>
      <c r="J75" s="108" t="s">
        <v>40</v>
      </c>
      <c r="K75" s="301"/>
      <c r="L75" s="109"/>
      <c r="M75" s="110"/>
      <c r="N75" s="111"/>
      <c r="O75" s="63"/>
      <c r="R75" s="63"/>
      <c r="S75" s="63"/>
      <c r="T75" s="63"/>
      <c r="U75" s="63"/>
    </row>
    <row r="76" spans="2:21" ht="15.45" x14ac:dyDescent="0.4">
      <c r="B76" s="240" t="s">
        <v>196</v>
      </c>
      <c r="C76" s="84"/>
      <c r="D76" s="84"/>
      <c r="E76" s="81"/>
      <c r="F76" s="256"/>
      <c r="G76" s="81"/>
      <c r="H76" s="81"/>
      <c r="I76" s="81"/>
      <c r="J76" s="231"/>
      <c r="K76" s="201"/>
      <c r="L76" s="232"/>
      <c r="M76" s="113"/>
      <c r="N76" s="114"/>
      <c r="O76" s="63"/>
      <c r="P76" s="63"/>
      <c r="S76" s="63"/>
      <c r="T76" s="63"/>
      <c r="U76" s="63"/>
    </row>
    <row r="77" spans="2:21" ht="15.45" x14ac:dyDescent="0.4">
      <c r="B77" s="240"/>
      <c r="C77" s="84"/>
      <c r="D77" s="257" t="s">
        <v>197</v>
      </c>
      <c r="E77" s="81"/>
      <c r="F77" s="256"/>
      <c r="G77" s="81"/>
      <c r="H77" s="81"/>
      <c r="I77" s="81"/>
      <c r="J77" s="231"/>
      <c r="K77" s="201"/>
      <c r="L77" s="232"/>
      <c r="M77" s="113"/>
      <c r="N77" s="114"/>
      <c r="O77" s="63"/>
      <c r="P77" s="63"/>
      <c r="S77" s="63"/>
      <c r="T77" s="63"/>
      <c r="U77" s="63"/>
    </row>
    <row r="78" spans="2:21" ht="15.45" x14ac:dyDescent="0.4">
      <c r="B78" s="240" t="s">
        <v>276</v>
      </c>
      <c r="C78" s="84"/>
      <c r="D78" s="84"/>
      <c r="E78" s="258">
        <v>8</v>
      </c>
      <c r="F78" s="250">
        <f>((($F$57+Q54+($F$29-$F$26)*$F$30)/($F$23*$F$30))*100)/(1-$E$26*0.01)</f>
        <v>113.84691941066167</v>
      </c>
      <c r="G78" s="81"/>
      <c r="H78" s="81"/>
      <c r="I78" s="81"/>
      <c r="J78" s="112">
        <f>(100-D60)</f>
        <v>20</v>
      </c>
      <c r="K78" s="302"/>
      <c r="L78" s="113" t="s">
        <v>37</v>
      </c>
      <c r="M78" s="113"/>
      <c r="N78" s="114"/>
      <c r="O78" s="63"/>
      <c r="P78" s="63"/>
      <c r="S78" s="63"/>
      <c r="T78" s="63"/>
      <c r="U78" s="63"/>
    </row>
    <row r="79" spans="2:21" ht="15.45" x14ac:dyDescent="0.4">
      <c r="B79" s="240"/>
      <c r="C79" s="84"/>
      <c r="D79" s="84"/>
      <c r="E79" s="259"/>
      <c r="F79" s="250"/>
      <c r="G79" s="81"/>
      <c r="H79" s="81"/>
      <c r="I79" s="81"/>
      <c r="J79" s="261">
        <f>IF(J82=0,0,(J81/J82)*100)</f>
        <v>13.103499426024346</v>
      </c>
      <c r="K79" s="303"/>
      <c r="L79" s="201" t="s">
        <v>36</v>
      </c>
      <c r="M79" s="113"/>
      <c r="N79" s="114"/>
      <c r="O79" s="63"/>
      <c r="S79" s="63"/>
      <c r="T79" s="63"/>
      <c r="U79" s="63"/>
    </row>
    <row r="80" spans="2:21" ht="15.45" x14ac:dyDescent="0.4">
      <c r="B80" s="240" t="s">
        <v>275</v>
      </c>
      <c r="C80" s="77"/>
      <c r="D80" s="142" t="s">
        <v>191</v>
      </c>
      <c r="E80" s="260">
        <f>E72</f>
        <v>63</v>
      </c>
      <c r="F80" s="144">
        <f>((F78/(E80*0.01)))</f>
        <v>180.70939588993915</v>
      </c>
      <c r="G80" s="81"/>
      <c r="H80" s="81"/>
      <c r="I80" s="81"/>
      <c r="J80" s="115"/>
      <c r="K80" s="232"/>
      <c r="L80" s="113"/>
      <c r="M80" s="113"/>
      <c r="N80" s="114"/>
      <c r="O80" s="63"/>
      <c r="S80" s="63"/>
    </row>
    <row r="81" spans="2:19" ht="15.45" x14ac:dyDescent="0.4">
      <c r="B81" s="21" t="s">
        <v>178</v>
      </c>
      <c r="C81" s="21"/>
      <c r="D81" s="21"/>
      <c r="E81" s="21"/>
      <c r="F81" s="21"/>
      <c r="J81" s="116">
        <f>F65</f>
        <v>1719.0345261389975</v>
      </c>
      <c r="K81" s="304"/>
      <c r="L81" s="113" t="s">
        <v>141</v>
      </c>
      <c r="M81" s="113"/>
      <c r="N81" s="114"/>
      <c r="O81" s="63"/>
      <c r="S81" s="63"/>
    </row>
    <row r="82" spans="2:19" ht="15.45" x14ac:dyDescent="0.4">
      <c r="B82" s="21"/>
      <c r="C82" s="21"/>
      <c r="D82" s="21"/>
      <c r="E82" s="21"/>
      <c r="F82" s="21"/>
      <c r="J82" s="117">
        <f>IF(D60=100,0,(((($F$57-$F$36)*0.5+$F$36)*(100-D60)*0.01)*($F$19/365)))</f>
        <v>13118.896489016443</v>
      </c>
      <c r="K82" s="305"/>
      <c r="L82" s="113" t="s">
        <v>35</v>
      </c>
      <c r="M82" s="113"/>
      <c r="N82" s="114"/>
      <c r="O82" s="63"/>
      <c r="S82" s="63"/>
    </row>
    <row r="83" spans="2:19" ht="15.45" x14ac:dyDescent="0.4">
      <c r="B83" s="1" t="s">
        <v>198</v>
      </c>
      <c r="C83" s="8"/>
      <c r="D83" s="6" t="s">
        <v>4</v>
      </c>
      <c r="E83" s="89" t="s">
        <v>133</v>
      </c>
      <c r="F83" s="7" t="s">
        <v>11</v>
      </c>
      <c r="G83" s="36"/>
      <c r="H83" s="36"/>
      <c r="J83" s="116" t="s">
        <v>199</v>
      </c>
      <c r="K83" s="304"/>
      <c r="L83" s="113"/>
      <c r="M83" s="113"/>
      <c r="N83" s="114"/>
      <c r="O83" s="63"/>
      <c r="S83" s="63"/>
    </row>
    <row r="84" spans="2:19" ht="15.45" x14ac:dyDescent="0.4">
      <c r="B84" s="76" t="s">
        <v>135</v>
      </c>
      <c r="C84" s="147"/>
      <c r="D84" s="148">
        <f>E84/J26*100</f>
        <v>72.454219669767454</v>
      </c>
      <c r="E84" s="148">
        <f>(F57-F36+F61)/$F$30</f>
        <v>459.66713424431856</v>
      </c>
      <c r="F84" s="86">
        <f>(F63-F36)</f>
        <v>45507.046290187529</v>
      </c>
      <c r="G84" s="36"/>
      <c r="H84" s="36"/>
      <c r="J84" s="122" t="s">
        <v>39</v>
      </c>
      <c r="K84" s="306"/>
      <c r="L84" s="118">
        <f>IF(J78=0,0,(F68/F67))</f>
        <v>2.1064349137288114</v>
      </c>
      <c r="M84" s="113"/>
      <c r="N84" s="114"/>
      <c r="O84" s="63"/>
      <c r="S84" s="63"/>
    </row>
    <row r="85" spans="2:19" ht="15.45" x14ac:dyDescent="0.4">
      <c r="B85" s="240"/>
      <c r="C85" s="241"/>
      <c r="D85" s="242"/>
      <c r="E85" s="242"/>
      <c r="F85" s="70"/>
      <c r="G85" s="36"/>
      <c r="H85" s="36"/>
      <c r="J85" s="116"/>
      <c r="K85" s="304"/>
      <c r="L85" s="113"/>
      <c r="M85" s="113"/>
      <c r="N85" s="114"/>
      <c r="O85" s="63"/>
      <c r="S85" s="63"/>
    </row>
    <row r="86" spans="2:19" ht="15.45" x14ac:dyDescent="0.4">
      <c r="B86" s="76" t="s">
        <v>182</v>
      </c>
      <c r="C86" s="146"/>
      <c r="D86" s="243">
        <f>(((F32*H86*0.01)-(F11*F15*0.01))/(H86-F11))*100</f>
        <v>75.191187135916678</v>
      </c>
      <c r="E86" s="244">
        <f>J26*D86*0.01</f>
        <v>477.03111935683381</v>
      </c>
      <c r="G86" s="36"/>
      <c r="H86" s="401">
        <f>(F23*(100-E30)*0.01)</f>
        <v>1378.08</v>
      </c>
      <c r="I86" t="s">
        <v>356</v>
      </c>
      <c r="J86" s="117">
        <f>IF($F$19=0,0,((($F$57-$F$36)*0.5+$F$36)*($F$19/365)))</f>
        <v>65594.48244508222</v>
      </c>
      <c r="K86" s="305"/>
      <c r="L86" s="113" t="s">
        <v>152</v>
      </c>
      <c r="M86" s="113"/>
      <c r="N86" s="114"/>
      <c r="O86" s="63"/>
      <c r="S86" s="63"/>
    </row>
    <row r="87" spans="2:19" ht="15.45" x14ac:dyDescent="0.4">
      <c r="D87" s="6" t="s">
        <v>4</v>
      </c>
      <c r="E87" s="12"/>
      <c r="F87" s="18"/>
      <c r="G87" s="36"/>
      <c r="H87" s="36"/>
      <c r="J87" s="119">
        <f>(F65+F55+F36)</f>
        <v>112616.99370981248</v>
      </c>
      <c r="K87" s="307"/>
      <c r="L87" s="120" t="s">
        <v>144</v>
      </c>
      <c r="M87" s="120"/>
      <c r="N87" s="121"/>
      <c r="O87" s="63"/>
      <c r="S87" s="63"/>
    </row>
    <row r="88" spans="2:19" ht="15.45" x14ac:dyDescent="0.4">
      <c r="B88" s="76" t="s">
        <v>145</v>
      </c>
      <c r="C88" s="149"/>
      <c r="D88" s="148">
        <f>(F57-F36-SUM(F44:F47))/(I24*0.01)</f>
        <v>64.714120688709357</v>
      </c>
      <c r="E88" s="38"/>
      <c r="G88" s="36"/>
      <c r="H88" s="36"/>
      <c r="S88" s="63"/>
    </row>
    <row r="89" spans="2:19" ht="15.45" x14ac:dyDescent="0.4">
      <c r="B89" s="1" t="s">
        <v>140</v>
      </c>
      <c r="C89" s="8"/>
      <c r="D89" s="123">
        <f>D88/D84</f>
        <v>0.89317255756343805</v>
      </c>
      <c r="E89" s="13"/>
      <c r="F89" s="19"/>
      <c r="G89" s="13"/>
      <c r="H89" s="13"/>
      <c r="S89" s="63"/>
    </row>
    <row r="90" spans="2:19" ht="15.45" x14ac:dyDescent="0.4">
      <c r="B90" s="1"/>
      <c r="C90" s="8"/>
      <c r="D90" s="6" t="s">
        <v>4</v>
      </c>
      <c r="E90" s="13"/>
      <c r="F90" s="19"/>
      <c r="G90" s="13"/>
      <c r="H90" s="13"/>
      <c r="S90" s="63"/>
    </row>
    <row r="91" spans="2:19" ht="15" x14ac:dyDescent="0.35">
      <c r="B91" s="8" t="s">
        <v>142</v>
      </c>
      <c r="D91" s="39">
        <f>F32</f>
        <v>112.92816091954023</v>
      </c>
      <c r="E91" s="13"/>
      <c r="F91" s="19"/>
      <c r="G91" s="13"/>
      <c r="H91" s="13"/>
      <c r="S91" s="63"/>
    </row>
    <row r="92" spans="2:19" ht="15" x14ac:dyDescent="0.35">
      <c r="B92" s="8" t="s">
        <v>188</v>
      </c>
      <c r="D92" s="107">
        <f>F15</f>
        <v>144.53061224489795</v>
      </c>
      <c r="E92" s="13"/>
      <c r="F92" s="19"/>
      <c r="G92" s="13"/>
      <c r="H92" s="13"/>
      <c r="S92" s="63"/>
    </row>
    <row r="93" spans="2:19" ht="15.45" x14ac:dyDescent="0.4">
      <c r="B93" s="76" t="s">
        <v>200</v>
      </c>
      <c r="C93" s="142"/>
      <c r="D93" s="150">
        <f>D91-D92</f>
        <v>-31.60245132535772</v>
      </c>
      <c r="E93" s="13"/>
      <c r="F93" s="19"/>
      <c r="G93" s="13"/>
      <c r="H93" s="13"/>
      <c r="L93" s="95"/>
      <c r="M93" s="63"/>
      <c r="N93" s="63"/>
      <c r="O93" s="63"/>
      <c r="P93" s="63"/>
      <c r="S93" s="63"/>
    </row>
    <row r="94" spans="2:19" ht="15.45" x14ac:dyDescent="0.4">
      <c r="B94" s="228"/>
      <c r="C94" s="229"/>
      <c r="D94" s="233"/>
      <c r="E94" s="234"/>
      <c r="F94" s="19"/>
      <c r="G94" s="13"/>
      <c r="H94" s="13"/>
      <c r="L94" s="95"/>
      <c r="M94" s="63"/>
      <c r="N94" s="63"/>
      <c r="O94" s="63"/>
      <c r="P94" s="63"/>
      <c r="S94" s="63"/>
    </row>
    <row r="95" spans="2:19" ht="15.45" x14ac:dyDescent="0.4">
      <c r="B95" s="1" t="s">
        <v>189</v>
      </c>
      <c r="D95" s="6" t="s">
        <v>6</v>
      </c>
      <c r="G95" s="36"/>
      <c r="H95" s="36"/>
      <c r="L95" s="63"/>
      <c r="M95" s="63"/>
      <c r="N95" s="63"/>
      <c r="O95" s="63"/>
      <c r="P95" s="63"/>
      <c r="S95" s="63"/>
    </row>
    <row r="96" spans="2:19" ht="15.45" x14ac:dyDescent="0.4">
      <c r="B96" s="1" t="s">
        <v>38</v>
      </c>
      <c r="D96" s="151">
        <f>J97</f>
        <v>-239.41251004058881</v>
      </c>
    </row>
    <row r="97" spans="2:13" ht="15.45" x14ac:dyDescent="0.4">
      <c r="B97" s="1" t="s">
        <v>52</v>
      </c>
      <c r="C97" s="6"/>
      <c r="D97" s="59">
        <f>J98</f>
        <v>256.77649515310412</v>
      </c>
      <c r="G97" s="20"/>
      <c r="H97" s="20"/>
      <c r="I97" t="s">
        <v>14</v>
      </c>
      <c r="J97" s="22">
        <f>((F10*F11*0.01)*(F32-F15)/F30)</f>
        <v>-239.41251004058881</v>
      </c>
    </row>
    <row r="98" spans="2:13" ht="15.45" x14ac:dyDescent="0.4">
      <c r="B98" s="76" t="s">
        <v>192</v>
      </c>
      <c r="C98" s="77"/>
      <c r="D98" s="311">
        <f>F65/F30</f>
        <v>17.363985112515127</v>
      </c>
      <c r="G98" s="20"/>
      <c r="H98" s="20"/>
      <c r="I98" t="s">
        <v>15</v>
      </c>
      <c r="J98" s="23">
        <f>((F32-J105)*J104*0.01)/F30</f>
        <v>256.77649515310412</v>
      </c>
    </row>
    <row r="99" spans="2:13" ht="15.45" x14ac:dyDescent="0.4">
      <c r="D99" s="21"/>
      <c r="G99" s="59"/>
      <c r="H99" s="59"/>
      <c r="I99" s="149" t="s">
        <v>16</v>
      </c>
      <c r="J99" s="161">
        <f>(J97+J98)</f>
        <v>17.363985112515309</v>
      </c>
    </row>
    <row r="100" spans="2:13" x14ac:dyDescent="0.3">
      <c r="B100" t="s">
        <v>149</v>
      </c>
    </row>
    <row r="101" spans="2:13" x14ac:dyDescent="0.3">
      <c r="B101" s="25"/>
      <c r="J101" s="40" t="s">
        <v>17</v>
      </c>
      <c r="K101" s="40" t="s">
        <v>123</v>
      </c>
    </row>
    <row r="102" spans="2:13" ht="15.45" x14ac:dyDescent="0.4">
      <c r="B102" s="406" t="s">
        <v>41</v>
      </c>
      <c r="C102" s="406"/>
      <c r="D102" s="406"/>
      <c r="E102" s="406"/>
      <c r="F102" s="406"/>
      <c r="I102" t="s">
        <v>98</v>
      </c>
      <c r="J102" s="4">
        <f>F10*F11</f>
        <v>75000</v>
      </c>
      <c r="K102" s="79">
        <f>J102/$F$30</f>
        <v>757.57575757575762</v>
      </c>
    </row>
    <row r="103" spans="2:13" ht="15" x14ac:dyDescent="0.35">
      <c r="B103" s="13"/>
      <c r="C103" s="13" t="s">
        <v>18</v>
      </c>
      <c r="D103" s="29">
        <f>'1. CattleFinisih&amp;ROI Projection'!F9</f>
        <v>44075</v>
      </c>
      <c r="E103" s="29">
        <f>'1. CattleFinisih&amp;ROI Projection'!F18</f>
        <v>44259.210526315786</v>
      </c>
      <c r="F103" s="13"/>
      <c r="I103" s="24" t="s">
        <v>207</v>
      </c>
      <c r="J103" s="4">
        <f>F30*F23</f>
        <v>137808</v>
      </c>
      <c r="K103" s="79">
        <f>J103/$F$30</f>
        <v>1392</v>
      </c>
    </row>
    <row r="104" spans="2:13" ht="15" x14ac:dyDescent="0.35">
      <c r="B104" s="13"/>
      <c r="C104" s="13"/>
      <c r="D104" s="13"/>
      <c r="E104" s="13"/>
      <c r="F104" s="309">
        <v>44036</v>
      </c>
      <c r="I104" s="24" t="s">
        <v>236</v>
      </c>
      <c r="J104" s="4">
        <f>J103-J102</f>
        <v>62808</v>
      </c>
      <c r="K104" s="79">
        <f>J104/$F$30</f>
        <v>634.42424242424238</v>
      </c>
    </row>
    <row r="105" spans="2:13" ht="15.45" x14ac:dyDescent="0.4">
      <c r="B105" s="13" t="s">
        <v>19</v>
      </c>
      <c r="C105" s="19" t="s">
        <v>8</v>
      </c>
      <c r="D105" s="58">
        <f>'1. CattleFinisih&amp;ROI Projection'!F11</f>
        <v>750</v>
      </c>
      <c r="E105" s="58">
        <f>F23</f>
        <v>1392</v>
      </c>
      <c r="F105" s="384" t="s">
        <v>365</v>
      </c>
      <c r="I105" s="149" t="s">
        <v>357</v>
      </c>
      <c r="J105" s="162">
        <f>((F57+F61-F36)/J104)*100</f>
        <v>72.454219669767426</v>
      </c>
    </row>
    <row r="106" spans="2:13" ht="15" x14ac:dyDescent="0.35">
      <c r="B106" s="13" t="s">
        <v>20</v>
      </c>
      <c r="C106" s="13"/>
      <c r="D106" s="379"/>
      <c r="E106" s="383"/>
      <c r="F106" s="35">
        <v>113</v>
      </c>
    </row>
    <row r="107" spans="2:13" ht="15" x14ac:dyDescent="0.35">
      <c r="B107" s="13" t="s">
        <v>21</v>
      </c>
      <c r="C107" s="13"/>
      <c r="D107" s="381" t="s">
        <v>338</v>
      </c>
      <c r="E107" s="381">
        <v>44036</v>
      </c>
      <c r="F107" s="13"/>
      <c r="M107" s="279"/>
    </row>
    <row r="108" spans="2:13" ht="15" x14ac:dyDescent="0.35">
      <c r="B108" s="13" t="s">
        <v>49</v>
      </c>
      <c r="C108" s="19" t="s">
        <v>4</v>
      </c>
      <c r="D108" s="35">
        <v>143</v>
      </c>
      <c r="E108" s="35">
        <v>113</v>
      </c>
      <c r="F108" s="13"/>
    </row>
    <row r="109" spans="2:13" ht="15" x14ac:dyDescent="0.35">
      <c r="B109" s="13" t="s">
        <v>48</v>
      </c>
      <c r="C109" s="19" t="s">
        <v>8</v>
      </c>
      <c r="D109" s="43">
        <v>750</v>
      </c>
      <c r="E109" s="43">
        <v>1450</v>
      </c>
      <c r="F109" s="13"/>
      <c r="I109" s="3" t="s">
        <v>25</v>
      </c>
      <c r="J109" s="3"/>
    </row>
    <row r="110" spans="2:13" ht="15" x14ac:dyDescent="0.35">
      <c r="B110" s="13" t="s">
        <v>22</v>
      </c>
      <c r="C110" s="19" t="s">
        <v>8</v>
      </c>
      <c r="D110" s="43">
        <v>0</v>
      </c>
      <c r="E110" s="43">
        <v>0</v>
      </c>
      <c r="F110" s="13"/>
      <c r="I110" s="3">
        <f>IF((D105&gt;(D109+D110)),(-D112*0.01*(D105-D109)),0)</f>
        <v>0</v>
      </c>
      <c r="J110" s="3"/>
      <c r="K110" t="s">
        <v>27</v>
      </c>
    </row>
    <row r="111" spans="2:13" ht="15" x14ac:dyDescent="0.35">
      <c r="B111" s="13" t="s">
        <v>23</v>
      </c>
      <c r="C111" s="19" t="s">
        <v>8</v>
      </c>
      <c r="D111" s="43">
        <v>0</v>
      </c>
      <c r="E111" s="43">
        <v>0</v>
      </c>
      <c r="F111" s="13"/>
      <c r="I111" s="3">
        <f>IF((D105&lt;D109-D111),(D112*0.01*(D109-D105)),0)</f>
        <v>0</v>
      </c>
      <c r="J111" s="3"/>
      <c r="K111" t="s">
        <v>28</v>
      </c>
    </row>
    <row r="112" spans="2:13" ht="15" x14ac:dyDescent="0.35">
      <c r="B112" s="13" t="s">
        <v>24</v>
      </c>
      <c r="C112" s="19" t="s">
        <v>4</v>
      </c>
      <c r="D112" s="35">
        <v>7</v>
      </c>
      <c r="E112" s="35">
        <v>0</v>
      </c>
      <c r="F112" s="13"/>
      <c r="I112" s="3">
        <f>(I110+I111)</f>
        <v>0</v>
      </c>
      <c r="J112" s="3"/>
      <c r="K112" t="s">
        <v>29</v>
      </c>
    </row>
    <row r="113" spans="2:12" ht="15.45" x14ac:dyDescent="0.4">
      <c r="B113" s="1" t="s">
        <v>26</v>
      </c>
      <c r="C113" s="6" t="s">
        <v>4</v>
      </c>
      <c r="D113" s="42">
        <f>I112</f>
        <v>0</v>
      </c>
      <c r="E113" s="42">
        <f>J122</f>
        <v>0</v>
      </c>
      <c r="F113" s="13"/>
    </row>
    <row r="114" spans="2:12" ht="15" x14ac:dyDescent="0.35">
      <c r="B114" s="13"/>
      <c r="C114" s="13"/>
      <c r="D114" s="5"/>
      <c r="E114" s="5"/>
      <c r="F114" s="13"/>
    </row>
    <row r="115" spans="2:12" ht="15" x14ac:dyDescent="0.35">
      <c r="B115" s="8" t="s">
        <v>251</v>
      </c>
      <c r="C115" s="19" t="s">
        <v>4</v>
      </c>
      <c r="D115" s="295">
        <v>0</v>
      </c>
      <c r="E115" s="295">
        <v>0</v>
      </c>
      <c r="F115" s="13"/>
    </row>
    <row r="116" spans="2:12" ht="15" x14ac:dyDescent="0.35">
      <c r="B116" s="13"/>
      <c r="C116" s="19"/>
      <c r="D116" s="102"/>
      <c r="E116" s="102"/>
      <c r="F116" s="13"/>
      <c r="J116" s="3"/>
      <c r="K116" s="3"/>
    </row>
    <row r="117" spans="2:12" ht="15" x14ac:dyDescent="0.35">
      <c r="B117" s="13" t="s">
        <v>46</v>
      </c>
      <c r="C117" s="13"/>
      <c r="D117" s="5"/>
      <c r="E117" s="5"/>
      <c r="F117" s="13"/>
    </row>
    <row r="118" spans="2:12" ht="15" x14ac:dyDescent="0.35">
      <c r="B118" s="13" t="s">
        <v>138</v>
      </c>
      <c r="C118" s="19" t="s">
        <v>4</v>
      </c>
      <c r="D118" s="35">
        <v>0</v>
      </c>
      <c r="E118" s="35">
        <v>0</v>
      </c>
      <c r="F118" s="13"/>
    </row>
    <row r="119" spans="2:12" ht="15" x14ac:dyDescent="0.35">
      <c r="B119" s="13" t="s">
        <v>30</v>
      </c>
      <c r="C119" s="19" t="s">
        <v>4</v>
      </c>
      <c r="D119" s="35">
        <v>0</v>
      </c>
      <c r="E119" s="35">
        <v>0</v>
      </c>
      <c r="F119" s="13"/>
      <c r="J119" s="3" t="s">
        <v>25</v>
      </c>
      <c r="K119" s="3"/>
    </row>
    <row r="120" spans="2:12" ht="15" x14ac:dyDescent="0.35">
      <c r="B120" s="13" t="s">
        <v>31</v>
      </c>
      <c r="C120" s="19" t="s">
        <v>4</v>
      </c>
      <c r="D120" s="35">
        <v>0</v>
      </c>
      <c r="E120" s="35">
        <v>0</v>
      </c>
      <c r="F120" s="13"/>
      <c r="J120" s="3">
        <f>IF((E105&gt;(E109+E110)),(-E112*0.01*(E105-E109)),0)</f>
        <v>0</v>
      </c>
      <c r="K120" s="3"/>
      <c r="L120" t="s">
        <v>27</v>
      </c>
    </row>
    <row r="121" spans="2:12" ht="15" x14ac:dyDescent="0.35">
      <c r="B121" s="13" t="s">
        <v>32</v>
      </c>
      <c r="C121" s="19" t="s">
        <v>4</v>
      </c>
      <c r="D121" s="35">
        <v>0</v>
      </c>
      <c r="E121" s="35">
        <v>0</v>
      </c>
      <c r="F121" s="13"/>
      <c r="J121" s="3">
        <f>IF((E105&lt;E109-E111),(E112*0.01*(E109-E105)),0)</f>
        <v>0</v>
      </c>
      <c r="K121" s="3"/>
      <c r="L121" t="s">
        <v>28</v>
      </c>
    </row>
    <row r="122" spans="2:12" ht="15" x14ac:dyDescent="0.35">
      <c r="B122" s="26" t="s">
        <v>347</v>
      </c>
      <c r="C122" s="19" t="s">
        <v>4</v>
      </c>
      <c r="D122" s="35">
        <v>0</v>
      </c>
      <c r="E122" s="35">
        <v>0</v>
      </c>
      <c r="F122" s="13"/>
      <c r="J122" s="3">
        <f>(J120+J121)</f>
        <v>0</v>
      </c>
      <c r="K122" s="3"/>
      <c r="L122" t="s">
        <v>29</v>
      </c>
    </row>
    <row r="123" spans="2:12" ht="15" x14ac:dyDescent="0.35">
      <c r="B123" s="26" t="s">
        <v>347</v>
      </c>
      <c r="C123" s="19" t="s">
        <v>4</v>
      </c>
      <c r="D123" s="35">
        <v>0</v>
      </c>
      <c r="E123" s="35">
        <v>0</v>
      </c>
      <c r="F123" s="13"/>
    </row>
    <row r="124" spans="2:12" ht="15" x14ac:dyDescent="0.35">
      <c r="B124" s="13" t="s">
        <v>47</v>
      </c>
      <c r="C124" s="19" t="s">
        <v>4</v>
      </c>
      <c r="D124" s="30">
        <f>SUM(D118:D123)</f>
        <v>0</v>
      </c>
      <c r="E124" s="30">
        <f>SUM(E118:E123)</f>
        <v>0</v>
      </c>
      <c r="F124" s="13"/>
      <c r="G124" s="22">
        <f>D98</f>
        <v>17.363985112515127</v>
      </c>
      <c r="H124" s="24" t="s">
        <v>332</v>
      </c>
    </row>
    <row r="125" spans="2:12" ht="15" x14ac:dyDescent="0.35">
      <c r="B125" s="13"/>
      <c r="C125" s="13"/>
      <c r="D125" s="5"/>
      <c r="E125" s="5"/>
      <c r="F125" s="13"/>
    </row>
    <row r="126" spans="2:12" ht="15.45" x14ac:dyDescent="0.4">
      <c r="B126" s="76" t="s">
        <v>265</v>
      </c>
      <c r="C126" s="77" t="s">
        <v>4</v>
      </c>
      <c r="D126" s="237">
        <f>(D108+D115+D113+D124)</f>
        <v>143</v>
      </c>
      <c r="E126" s="237">
        <f>(E108+E115+E113+E124)</f>
        <v>113</v>
      </c>
      <c r="F126" s="13"/>
    </row>
    <row r="127" spans="2:12" ht="15.45" x14ac:dyDescent="0.4">
      <c r="B127" s="1" t="s">
        <v>150</v>
      </c>
      <c r="C127" s="13"/>
      <c r="D127" s="19"/>
      <c r="E127" s="19"/>
      <c r="F127" s="19"/>
    </row>
    <row r="128" spans="2:12" ht="15" x14ac:dyDescent="0.35">
      <c r="B128" s="24" t="s">
        <v>185</v>
      </c>
      <c r="C128" s="13"/>
      <c r="D128" s="19"/>
      <c r="E128" s="19"/>
      <c r="F128" s="19"/>
    </row>
    <row r="129" spans="2:6" ht="15" x14ac:dyDescent="0.35">
      <c r="B129" s="24" t="s">
        <v>184</v>
      </c>
      <c r="C129" s="13"/>
      <c r="D129" s="13"/>
      <c r="E129" s="31"/>
      <c r="F129" s="13"/>
    </row>
    <row r="130" spans="2:6" ht="15" x14ac:dyDescent="0.35">
      <c r="B130" s="24" t="s">
        <v>186</v>
      </c>
      <c r="C130" s="13"/>
      <c r="D130" s="13"/>
      <c r="E130" s="32"/>
      <c r="F130" s="13"/>
    </row>
    <row r="131" spans="2:6" ht="15" x14ac:dyDescent="0.35">
      <c r="B131" s="24" t="s">
        <v>187</v>
      </c>
      <c r="C131" s="13"/>
      <c r="D131" s="13"/>
      <c r="E131" s="13"/>
      <c r="F131" s="13"/>
    </row>
    <row r="133" spans="2:6" ht="15" x14ac:dyDescent="0.35">
      <c r="B133" s="13"/>
      <c r="D133" s="60"/>
      <c r="E133" s="8"/>
      <c r="F133" s="60"/>
    </row>
  </sheetData>
  <sheetProtection sheet="1" objects="1" scenarios="1"/>
  <mergeCells count="4">
    <mergeCell ref="B1:F1"/>
    <mergeCell ref="B102:F102"/>
    <mergeCell ref="C38:D38"/>
    <mergeCell ref="D8:F8"/>
  </mergeCells>
  <phoneticPr fontId="0" type="noConversion"/>
  <printOptions horizontalCentered="1"/>
  <pageMargins left="0.75" right="0.5" top="0.52" bottom="0.75" header="0.5" footer="0.5"/>
  <pageSetup scale="60" orientation="portrait" horizontalDpi="4294967292" r:id="rId1"/>
  <headerFooter alignWithMargins="0">
    <oddFooter>&amp;L&amp;F&amp;R&amp;A 
Page &amp;P of &amp;N</oddFooter>
  </headerFooter>
  <rowBreaks count="1" manualBreakCount="1">
    <brk id="74" min="1" max="5" man="1"/>
  </rowBreaks>
  <colBreaks count="1" manualBreakCount="1">
    <brk id="8" max="14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7"/>
  <sheetViews>
    <sheetView topLeftCell="A53" zoomScaleNormal="100" workbookViewId="0">
      <selection activeCell="B31" sqref="B31"/>
    </sheetView>
  </sheetViews>
  <sheetFormatPr defaultRowHeight="12.45" x14ac:dyDescent="0.3"/>
  <cols>
    <col min="1" max="1" width="4.4609375" customWidth="1"/>
    <col min="2" max="2" width="35.15234375" customWidth="1"/>
    <col min="3" max="3" width="12.84375" customWidth="1"/>
    <col min="4" max="4" width="15.15234375" customWidth="1"/>
    <col min="5" max="5" width="15.69140625" customWidth="1"/>
    <col min="6" max="6" width="12" customWidth="1"/>
    <col min="7" max="7" width="14.53515625" customWidth="1"/>
    <col min="8" max="8" width="11" customWidth="1"/>
    <col min="9" max="9" width="31.4609375" customWidth="1"/>
    <col min="10" max="10" width="20.84375" customWidth="1"/>
    <col min="11" max="11" width="15.23046875" customWidth="1"/>
    <col min="12" max="12" width="14.53515625" customWidth="1"/>
    <col min="13" max="13" width="11.69140625" bestFit="1" customWidth="1"/>
    <col min="14" max="14" width="13.4609375" customWidth="1"/>
    <col min="15" max="15" width="12.84375" customWidth="1"/>
    <col min="16" max="16" width="16.4609375" customWidth="1"/>
  </cols>
  <sheetData>
    <row r="1" spans="2:12" ht="17.600000000000001" x14ac:dyDescent="0.4">
      <c r="B1" s="405" t="s">
        <v>235</v>
      </c>
      <c r="C1" s="412"/>
      <c r="D1" s="412"/>
      <c r="E1" s="412"/>
      <c r="F1" s="413"/>
      <c r="G1" s="413"/>
      <c r="H1" s="361"/>
      <c r="I1" s="8"/>
      <c r="J1" s="8"/>
    </row>
    <row r="2" spans="2:12" ht="15.45" x14ac:dyDescent="0.4">
      <c r="B2" s="1"/>
      <c r="C2" s="8" t="s">
        <v>79</v>
      </c>
      <c r="D2" s="8" t="s">
        <v>248</v>
      </c>
      <c r="E2" s="8" t="s">
        <v>218</v>
      </c>
      <c r="F2" s="8"/>
      <c r="G2" s="8"/>
      <c r="H2" s="8"/>
      <c r="I2" s="8"/>
      <c r="J2" s="8"/>
    </row>
    <row r="3" spans="2:12" ht="15.45" x14ac:dyDescent="0.4">
      <c r="B3" s="8" t="s">
        <v>97</v>
      </c>
      <c r="C3" s="268">
        <f>'1. CattleFinisih&amp;ROI Projection'!F9</f>
        <v>44075</v>
      </c>
      <c r="D3" s="268">
        <f>'1. CattleFinisih&amp;ROI Projection'!F18</f>
        <v>44259.210526315786</v>
      </c>
      <c r="E3" s="312">
        <f>'1. CattleFinisih&amp;ROI Projection'!F19</f>
        <v>184.21052631578948</v>
      </c>
      <c r="F3" s="53" t="s">
        <v>271</v>
      </c>
      <c r="G3" s="8"/>
      <c r="H3" s="8"/>
      <c r="I3" s="8"/>
      <c r="J3" s="8"/>
    </row>
    <row r="4" spans="2:12" ht="15" x14ac:dyDescent="0.35">
      <c r="B4" s="8" t="s">
        <v>249</v>
      </c>
      <c r="C4" s="53">
        <f>'1. CattleFinisih&amp;ROI Projection'!F11</f>
        <v>750</v>
      </c>
      <c r="D4" s="280">
        <f>'1. CattleFinisih&amp;ROI Projection'!F23</f>
        <v>1392</v>
      </c>
      <c r="E4" s="53">
        <f>'1. CattleFinisih&amp;ROI Projection'!J26</f>
        <v>634.42424242424238</v>
      </c>
      <c r="F4" s="269">
        <f>E4/E3</f>
        <v>3.4440173160173155</v>
      </c>
      <c r="G4" s="8"/>
      <c r="H4" s="8"/>
      <c r="I4" s="8" t="s">
        <v>222</v>
      </c>
      <c r="J4" s="53" t="str">
        <f>'1. CattleFinisih&amp;ROI Projection'!J35</f>
        <v>$/BU. Corn As Fed*</v>
      </c>
      <c r="K4" s="24" t="s">
        <v>3</v>
      </c>
    </row>
    <row r="5" spans="2:12" ht="15" x14ac:dyDescent="0.35">
      <c r="B5" s="8"/>
      <c r="C5" s="53"/>
      <c r="D5" s="53"/>
      <c r="E5" s="8"/>
      <c r="F5" s="8"/>
      <c r="G5" s="8"/>
      <c r="H5" s="8"/>
      <c r="I5" s="8"/>
      <c r="J5" s="264">
        <f>'1. CattleFinisih&amp;ROI Projection'!J37</f>
        <v>85.5</v>
      </c>
      <c r="K5" s="24" t="s">
        <v>3</v>
      </c>
    </row>
    <row r="6" spans="2:12" ht="15" x14ac:dyDescent="0.35">
      <c r="B6" s="8"/>
      <c r="C6" s="8" t="s">
        <v>224</v>
      </c>
      <c r="D6" s="8" t="s">
        <v>225</v>
      </c>
      <c r="E6" s="8" t="s">
        <v>234</v>
      </c>
      <c r="F6" s="8"/>
      <c r="G6" s="8"/>
      <c r="H6" s="8"/>
      <c r="I6" s="8"/>
      <c r="J6" s="8" t="s">
        <v>228</v>
      </c>
      <c r="K6" s="24" t="s">
        <v>225</v>
      </c>
      <c r="L6" s="8" t="s">
        <v>225</v>
      </c>
    </row>
    <row r="7" spans="2:12" ht="15" x14ac:dyDescent="0.35">
      <c r="B7" s="8" t="s">
        <v>238</v>
      </c>
      <c r="C7" s="8"/>
      <c r="D7" s="300">
        <v>10</v>
      </c>
      <c r="E7" s="8" t="s">
        <v>3</v>
      </c>
      <c r="F7" s="8"/>
      <c r="G7" s="8"/>
      <c r="H7" s="8"/>
      <c r="I7" s="8" t="s">
        <v>229</v>
      </c>
      <c r="J7" s="154">
        <f>'1. CattleFinisih&amp;ROI Projection'!F42</f>
        <v>30408.802816901411</v>
      </c>
      <c r="K7" s="36">
        <f>(('1. CattleFinisih&amp;ROI Projection'!I24*'1. CattleFinisih&amp;ROI Projection'!E38)/2000)*D10</f>
        <v>33449.683098591559</v>
      </c>
      <c r="L7" s="221">
        <f>K7-J7</f>
        <v>3040.880281690148</v>
      </c>
    </row>
    <row r="8" spans="2:12" ht="15" x14ac:dyDescent="0.35">
      <c r="B8" s="8" t="s">
        <v>222</v>
      </c>
      <c r="C8" s="8"/>
      <c r="D8" s="300">
        <v>85.5</v>
      </c>
      <c r="E8" s="8" t="s">
        <v>3</v>
      </c>
      <c r="F8" s="8"/>
      <c r="G8" s="8"/>
      <c r="H8" s="8"/>
      <c r="I8" s="8"/>
      <c r="J8" s="154"/>
      <c r="K8" s="36"/>
      <c r="L8" s="221"/>
    </row>
    <row r="9" spans="2:12" ht="15" x14ac:dyDescent="0.35">
      <c r="B9" s="8"/>
      <c r="C9" s="8"/>
      <c r="D9" s="281"/>
      <c r="E9" s="10" t="s">
        <v>250</v>
      </c>
      <c r="F9" s="10" t="s">
        <v>255</v>
      </c>
      <c r="G9" s="8"/>
      <c r="H9" s="8"/>
      <c r="I9" s="8"/>
      <c r="J9" s="154"/>
      <c r="K9" s="36"/>
      <c r="L9" s="221"/>
    </row>
    <row r="10" spans="2:12" ht="15" x14ac:dyDescent="0.35">
      <c r="B10" s="8" t="s">
        <v>280</v>
      </c>
      <c r="C10" s="60">
        <f>'1. CattleFinisih&amp;ROI Projection'!E40</f>
        <v>176.05633802816902</v>
      </c>
      <c r="D10" s="272">
        <f>((C10*(1+D7*0.01)))</f>
        <v>193.66197183098595</v>
      </c>
      <c r="E10" s="272">
        <f>D10-C10</f>
        <v>17.605633802816925</v>
      </c>
      <c r="F10" s="283"/>
      <c r="G10" s="8"/>
      <c r="H10" s="8"/>
      <c r="I10" s="8" t="s">
        <v>230</v>
      </c>
      <c r="J10" s="275">
        <f>'1. CattleFinisih&amp;ROI Projection'!F61</f>
        <v>2361.40136802296</v>
      </c>
      <c r="K10" s="276">
        <f>I29</f>
        <v>2389.0258031702533</v>
      </c>
      <c r="L10" s="221">
        <f>K10-J10</f>
        <v>27.624435147293298</v>
      </c>
    </row>
    <row r="11" spans="2:12" ht="15" x14ac:dyDescent="0.35">
      <c r="B11" s="8" t="s">
        <v>281</v>
      </c>
      <c r="C11" s="272">
        <f>((C15*20)/($D$8*0.01))</f>
        <v>146.19883040935673</v>
      </c>
      <c r="D11" s="272">
        <f>((D15*20)/($D$8*0.01))</f>
        <v>160.81871345029242</v>
      </c>
      <c r="E11" s="272">
        <f>D11-C11</f>
        <v>14.61988304093569</v>
      </c>
      <c r="F11" s="283"/>
      <c r="G11" s="8"/>
      <c r="H11" s="8"/>
      <c r="I11" s="8"/>
      <c r="J11" s="275"/>
      <c r="K11" s="276"/>
      <c r="L11" s="221"/>
    </row>
    <row r="12" spans="2:12" ht="15" x14ac:dyDescent="0.35">
      <c r="B12" s="8" t="s">
        <v>283</v>
      </c>
      <c r="C12" s="330">
        <f>C10/C11</f>
        <v>1.204225352112676</v>
      </c>
      <c r="D12" s="330">
        <f>D10/D11</f>
        <v>1.204225352112676</v>
      </c>
      <c r="E12" s="272"/>
      <c r="F12" s="283"/>
      <c r="G12" s="8"/>
      <c r="H12" s="8"/>
      <c r="I12" s="8"/>
      <c r="J12" s="275"/>
      <c r="K12" s="276"/>
      <c r="L12" s="221"/>
    </row>
    <row r="13" spans="2:12" ht="15" x14ac:dyDescent="0.35">
      <c r="B13" s="60"/>
      <c r="D13" s="272"/>
      <c r="E13" s="272"/>
      <c r="F13" s="283"/>
      <c r="G13" s="8"/>
      <c r="H13" s="8"/>
      <c r="I13" s="8"/>
      <c r="J13" s="275"/>
      <c r="K13" s="276"/>
      <c r="L13" s="221"/>
    </row>
    <row r="14" spans="2:12" ht="15.45" x14ac:dyDescent="0.4">
      <c r="B14" s="76" t="s">
        <v>282</v>
      </c>
      <c r="C14" s="325">
        <f>'1. CattleFinisih&amp;ROI Projection'!J38</f>
        <v>3.5</v>
      </c>
      <c r="D14" s="325">
        <f>C14+C14*D7*0.01</f>
        <v>3.85</v>
      </c>
      <c r="E14" s="325">
        <f>D14-C14</f>
        <v>0.35000000000000009</v>
      </c>
      <c r="F14" s="8"/>
      <c r="G14" s="8"/>
      <c r="H14" s="8"/>
      <c r="I14" s="8" t="s">
        <v>62</v>
      </c>
      <c r="J14" s="277">
        <f>'1. CattleFinisih&amp;ROI Projection'!F65</f>
        <v>1719.0345261389975</v>
      </c>
      <c r="K14" s="278">
        <f>J14-L7-L10</f>
        <v>-1349.4701906984437</v>
      </c>
      <c r="L14" s="221">
        <f>K14-J14</f>
        <v>-3068.5047168374413</v>
      </c>
    </row>
    <row r="15" spans="2:12" ht="15" x14ac:dyDescent="0.35">
      <c r="B15" s="8" t="s">
        <v>223</v>
      </c>
      <c r="C15" s="377">
        <f>C14/56*100</f>
        <v>6.25</v>
      </c>
      <c r="D15" s="377">
        <f>D14/56*100</f>
        <v>6.8750000000000009</v>
      </c>
      <c r="E15" s="377">
        <f>D15-C15</f>
        <v>0.62500000000000089</v>
      </c>
      <c r="F15" s="8"/>
      <c r="G15" s="8"/>
      <c r="H15" s="8"/>
      <c r="I15" s="8"/>
      <c r="J15" s="245"/>
      <c r="K15" s="81"/>
    </row>
    <row r="16" spans="2:12" ht="15" x14ac:dyDescent="0.35">
      <c r="B16" s="8"/>
      <c r="C16" s="377"/>
      <c r="D16" s="377"/>
      <c r="E16" s="377"/>
      <c r="F16" s="8"/>
      <c r="G16" s="8"/>
      <c r="H16" s="8"/>
      <c r="I16" s="8" t="s">
        <v>160</v>
      </c>
      <c r="J16" s="154">
        <f>'1. CattleFinisih&amp;ROI Projection'!F63+K48</f>
        <v>154004.00547386101</v>
      </c>
      <c r="K16" s="154">
        <f>J16+L7+L10</f>
        <v>157072.51019069846</v>
      </c>
      <c r="L16" s="221">
        <f>K16-J16</f>
        <v>3068.5047168374585</v>
      </c>
    </row>
    <row r="17" spans="2:15" ht="15" x14ac:dyDescent="0.35">
      <c r="B17" s="8" t="s">
        <v>226</v>
      </c>
      <c r="C17" s="377">
        <f>'1. CattleFinisih&amp;ROI Projection'!E42</f>
        <v>0.48415492957746481</v>
      </c>
      <c r="D17" s="377">
        <f>D10/2000*'1. CattleFinisih&amp;ROI Projection'!E38</f>
        <v>0.53257042253521136</v>
      </c>
      <c r="E17" s="377">
        <f>D17-C17</f>
        <v>4.8415492957746553E-2</v>
      </c>
      <c r="F17" s="283">
        <f>E17/C17</f>
        <v>0.10000000000000014</v>
      </c>
      <c r="G17" s="8"/>
      <c r="H17" s="8"/>
      <c r="I17" s="8" t="s">
        <v>232</v>
      </c>
      <c r="J17" s="60">
        <f>J16/J52</f>
        <v>111.75258727639978</v>
      </c>
      <c r="K17" s="60">
        <f>K16/J52</f>
        <v>113.97923936977423</v>
      </c>
      <c r="L17" s="153">
        <f>K17-J17</f>
        <v>2.2266520933744545</v>
      </c>
    </row>
    <row r="18" spans="2:15" ht="15" x14ac:dyDescent="0.35">
      <c r="B18" s="8"/>
      <c r="C18" s="377"/>
      <c r="D18" s="377"/>
      <c r="E18" s="377"/>
      <c r="F18" s="8"/>
      <c r="G18" s="8"/>
      <c r="H18" s="8"/>
      <c r="I18" s="8"/>
      <c r="J18" s="8"/>
    </row>
    <row r="19" spans="2:15" ht="15.45" x14ac:dyDescent="0.4">
      <c r="B19" s="1" t="s">
        <v>245</v>
      </c>
      <c r="C19" s="378">
        <f>'1. CattleFinisih&amp;ROI Projection'!D84</f>
        <v>72.454219669767454</v>
      </c>
      <c r="D19" s="378">
        <f>K19</f>
        <v>77.497374549460247</v>
      </c>
      <c r="E19" s="378">
        <f>D19-C19</f>
        <v>5.0431548796927927</v>
      </c>
      <c r="F19" s="283">
        <f>E19/C19</f>
        <v>6.9604709051847263E-2</v>
      </c>
      <c r="G19" s="8"/>
      <c r="H19" s="8"/>
      <c r="I19" s="1" t="s">
        <v>233</v>
      </c>
      <c r="J19" s="44">
        <f>'1. CattleFinisih&amp;ROI Projection'!D84</f>
        <v>72.454219669767454</v>
      </c>
      <c r="K19" s="44">
        <f>((K16-'1. CattleFinisih&amp;ROI Projection'!F36)/'1. CattleFinisih&amp;ROI Projection'!L26)*100</f>
        <v>77.497374549460247</v>
      </c>
      <c r="L19" s="156">
        <f>K19-J19</f>
        <v>5.0431548796927927</v>
      </c>
    </row>
    <row r="20" spans="2:15" ht="15.45" x14ac:dyDescent="0.4">
      <c r="B20" s="1"/>
      <c r="C20" s="378"/>
      <c r="D20" s="378"/>
      <c r="E20" s="377"/>
      <c r="F20" s="272"/>
      <c r="G20" s="8"/>
      <c r="H20" s="8"/>
      <c r="I20" s="1"/>
      <c r="J20" s="44"/>
      <c r="K20" s="44"/>
      <c r="L20" s="156"/>
    </row>
    <row r="21" spans="2:15" ht="15.45" x14ac:dyDescent="0.4">
      <c r="B21" s="1" t="s">
        <v>318</v>
      </c>
      <c r="C21" s="378">
        <f>J17</f>
        <v>111.75258727639978</v>
      </c>
      <c r="D21" s="378">
        <f>K17</f>
        <v>113.97923936977423</v>
      </c>
      <c r="E21" s="378">
        <f>D21-C21</f>
        <v>2.2266520933744545</v>
      </c>
      <c r="F21" s="283">
        <f>E21/C21</f>
        <v>1.9924837067684473E-2</v>
      </c>
      <c r="G21" s="8"/>
      <c r="H21" s="8"/>
      <c r="I21" s="189" t="s">
        <v>174</v>
      </c>
      <c r="J21" s="192"/>
    </row>
    <row r="22" spans="2:15" ht="15" x14ac:dyDescent="0.35">
      <c r="B22" s="8"/>
      <c r="C22" s="8"/>
      <c r="D22" s="8"/>
      <c r="E22" s="8"/>
      <c r="F22" s="8"/>
      <c r="G22" s="8"/>
      <c r="H22" s="8"/>
      <c r="I22" s="314">
        <f>(((SUM('1. CattleFinisih&amp;ROI Projection'!$F$42:$F$47)+'1. CattleFinisih&amp;ROI Projection'!$F$55+L7)*0.5))</f>
        <v>23093.262601927359</v>
      </c>
      <c r="J22" s="113" t="s">
        <v>58</v>
      </c>
    </row>
    <row r="23" spans="2:15" ht="15.45" x14ac:dyDescent="0.4">
      <c r="B23" s="76" t="s">
        <v>227</v>
      </c>
      <c r="C23" s="332">
        <f>'1. CattleFinisih&amp;ROI Projection'!F67</f>
        <v>6.2206998852048688E-2</v>
      </c>
      <c r="D23" s="333">
        <f>((K10+K14)/(((K16-K10-'1. CattleFinisih&amp;ROI Projection'!$F$36)*0.5+'1. CattleFinisih&amp;ROI Projection'!$F$36)*('1. CattleFinisih&amp;ROI Projection'!$F$19/365)))</f>
        <v>1.5659068645661398E-2</v>
      </c>
      <c r="E23" s="332">
        <f>D23-C23</f>
        <v>-4.654793020638729E-2</v>
      </c>
      <c r="F23" s="334">
        <f>E23/C23</f>
        <v>-0.74827480935216839</v>
      </c>
      <c r="G23" s="8"/>
      <c r="H23" s="8"/>
      <c r="I23" s="315">
        <f>I$22*'1. CattleFinisih&amp;ROI Projection'!$D$60*0.01</f>
        <v>18474.610081541887</v>
      </c>
      <c r="J23" s="113" t="s">
        <v>59</v>
      </c>
    </row>
    <row r="24" spans="2:15" ht="15" x14ac:dyDescent="0.35">
      <c r="B24" s="284" t="s">
        <v>239</v>
      </c>
      <c r="C24" s="8"/>
      <c r="D24" s="8"/>
      <c r="E24" s="8"/>
      <c r="F24" s="8"/>
      <c r="G24" s="8"/>
      <c r="H24" s="8"/>
    </row>
    <row r="25" spans="2:15" ht="15" x14ac:dyDescent="0.35">
      <c r="B25" s="63" t="s">
        <v>319</v>
      </c>
      <c r="D25" s="8"/>
      <c r="E25" s="8"/>
      <c r="F25" s="8"/>
      <c r="G25" s="8"/>
      <c r="H25" s="8"/>
    </row>
    <row r="26" spans="2:15" ht="14.15" x14ac:dyDescent="0.35">
      <c r="I26" s="316">
        <f>('1. CattleFinisih&amp;ROI Projection'!$N$40*'1. CattleFinisih&amp;ROI Projection'!$E$60*0.01*('1. CattleFinisih&amp;ROI Projection'!$F$19/365))/('1. CattleFinisih&amp;ROI Projection'!$N$39)*100</f>
        <v>1.8168709444844988</v>
      </c>
      <c r="J26" s="201" t="s">
        <v>177</v>
      </c>
    </row>
    <row r="27" spans="2:15" ht="17.600000000000001" x14ac:dyDescent="0.4">
      <c r="B27" s="405" t="s">
        <v>320</v>
      </c>
      <c r="C27" s="413"/>
      <c r="D27" s="413"/>
      <c r="E27" s="413"/>
      <c r="F27" s="413"/>
      <c r="G27" s="413"/>
      <c r="H27" s="361"/>
      <c r="I27" s="204">
        <f>I22*I26*0.01</f>
        <v>419.57477834792314</v>
      </c>
      <c r="J27" s="273" t="s">
        <v>231</v>
      </c>
      <c r="K27" s="315">
        <f>I22-I23</f>
        <v>4618.6525203854726</v>
      </c>
      <c r="L27" s="113" t="s">
        <v>60</v>
      </c>
    </row>
    <row r="28" spans="2:15" ht="15" x14ac:dyDescent="0.35">
      <c r="B28" s="8"/>
      <c r="I28" s="274">
        <f>'1. CattleFinisih&amp;ROI Projection'!N52</f>
        <v>1969.4510248223301</v>
      </c>
    </row>
    <row r="29" spans="2:15" ht="15.45" x14ac:dyDescent="0.4">
      <c r="B29" s="8" t="s">
        <v>295</v>
      </c>
      <c r="C29" s="414" t="s">
        <v>297</v>
      </c>
      <c r="D29" s="415"/>
      <c r="E29" s="414"/>
      <c r="F29" s="414"/>
      <c r="G29" s="414"/>
      <c r="H29" s="6"/>
      <c r="I29" s="210">
        <f>(I27+I28)</f>
        <v>2389.0258031702533</v>
      </c>
      <c r="K29" s="414" t="s">
        <v>298</v>
      </c>
      <c r="L29" s="415"/>
      <c r="M29" s="414"/>
      <c r="N29" s="414"/>
      <c r="O29" s="414"/>
    </row>
    <row r="30" spans="2:15" ht="15.45" x14ac:dyDescent="0.4">
      <c r="B30" s="346">
        <v>0.5</v>
      </c>
      <c r="C30" s="60">
        <f>D30-B30</f>
        <v>2.5</v>
      </c>
      <c r="D30" s="60">
        <f>E30-B30</f>
        <v>3</v>
      </c>
      <c r="E30" s="143">
        <f>'1. CattleFinisih&amp;ROI Projection'!F40</f>
        <v>3.5</v>
      </c>
      <c r="F30" s="60">
        <f>E30+B30</f>
        <v>4</v>
      </c>
      <c r="G30" s="60">
        <f>F30+B30</f>
        <v>4.5</v>
      </c>
      <c r="H30" s="60"/>
      <c r="J30" s="153">
        <f>B30</f>
        <v>0.5</v>
      </c>
      <c r="K30" s="60">
        <f>L30-J30</f>
        <v>2.5</v>
      </c>
      <c r="L30" s="60">
        <f>M30-J30</f>
        <v>3</v>
      </c>
      <c r="M30" s="44">
        <f>E30</f>
        <v>3.5</v>
      </c>
      <c r="N30" s="60">
        <f>M30+J30</f>
        <v>4</v>
      </c>
      <c r="O30" s="60">
        <f>N30+J30</f>
        <v>4.5</v>
      </c>
    </row>
    <row r="31" spans="2:15" ht="15.45" x14ac:dyDescent="0.4">
      <c r="B31" s="8" t="s">
        <v>294</v>
      </c>
      <c r="C31" s="8"/>
      <c r="D31" s="8"/>
      <c r="E31" s="8"/>
      <c r="F31" s="8"/>
      <c r="G31" s="8"/>
      <c r="H31" s="8"/>
      <c r="I31" s="274"/>
      <c r="J31" s="1" t="s">
        <v>229</v>
      </c>
      <c r="K31" s="44">
        <f>((K$30/56)*2000)/0.71</f>
        <v>125.75452716297788</v>
      </c>
      <c r="L31" s="44">
        <f>((L$30/56)*2000)/0.71</f>
        <v>150.90543259557344</v>
      </c>
      <c r="M31" s="44">
        <f>((M$30/56)*2000)/0.71</f>
        <v>176.05633802816902</v>
      </c>
      <c r="N31" s="44">
        <f>((N$30/56)*2000)/0.71</f>
        <v>201.2072434607646</v>
      </c>
      <c r="O31" s="44">
        <f>((O$30/56)*2000)/0.71</f>
        <v>226.35814889336018</v>
      </c>
    </row>
    <row r="32" spans="2:15" ht="15" x14ac:dyDescent="0.35">
      <c r="B32" s="346">
        <v>2</v>
      </c>
      <c r="D32" s="8"/>
      <c r="E32" s="8"/>
      <c r="F32" s="8"/>
      <c r="G32" s="8"/>
      <c r="H32" s="8"/>
      <c r="I32" s="63"/>
      <c r="J32" s="24" t="s">
        <v>299</v>
      </c>
      <c r="K32" s="23">
        <f>'1. CattleFinisih&amp;ROI Projection'!$D$40*K31*'1. CattleFinisih&amp;ROI Projection'!$F$30</f>
        <v>21720.573440643864</v>
      </c>
      <c r="L32" s="23">
        <f>'1. CattleFinisih&amp;ROI Projection'!$D$40*L31*'1. CattleFinisih&amp;ROI Projection'!$F$30</f>
        <v>26064.688128772636</v>
      </c>
      <c r="M32" s="23">
        <f>'1. CattleFinisih&amp;ROI Projection'!$D$40*M31*'1. CattleFinisih&amp;ROI Projection'!$F$30</f>
        <v>30408.802816901407</v>
      </c>
      <c r="N32" s="23">
        <f>'1. CattleFinisih&amp;ROI Projection'!$D$40*N31*'1. CattleFinisih&amp;ROI Projection'!$F$30</f>
        <v>34752.917505030186</v>
      </c>
      <c r="O32" s="23">
        <f>'1. CattleFinisih&amp;ROI Projection'!$D$40*O31*'1. CattleFinisih&amp;ROI Projection'!$F$30</f>
        <v>39097.032193158957</v>
      </c>
    </row>
    <row r="33" spans="2:16" ht="15.45" x14ac:dyDescent="0.4">
      <c r="B33" s="8" t="s">
        <v>296</v>
      </c>
      <c r="C33" s="414" t="s">
        <v>317</v>
      </c>
      <c r="D33" s="414"/>
      <c r="E33" s="414"/>
      <c r="F33" s="414"/>
      <c r="G33" s="414"/>
      <c r="H33" s="6"/>
      <c r="J33" s="24" t="s">
        <v>349</v>
      </c>
      <c r="K33" s="23">
        <f>K32*0.5*$I$26*0.01</f>
        <v>197.31739390923769</v>
      </c>
      <c r="L33" s="23">
        <f>L32*0.5*$I$26*0.01</f>
        <v>236.78087269108522</v>
      </c>
      <c r="M33" s="397">
        <f>M32*0.5*$I$26*0.01</f>
        <v>276.24435147293275</v>
      </c>
      <c r="N33" s="23">
        <f>N32*0.5*$I$26*0.01</f>
        <v>315.70783025478033</v>
      </c>
      <c r="O33" s="23">
        <f>O32*0.5*$I$26*0.01</f>
        <v>355.17130903662786</v>
      </c>
    </row>
    <row r="34" spans="2:16" ht="15" x14ac:dyDescent="0.35">
      <c r="B34" s="358">
        <f>B35-B32</f>
        <v>139</v>
      </c>
      <c r="C34" s="154">
        <f t="shared" ref="C34:G38" si="0">K57/$J$52</f>
        <v>103.17423009673259</v>
      </c>
      <c r="D34" s="154">
        <f t="shared" si="0"/>
        <v>106.35516165869606</v>
      </c>
      <c r="E34" s="154">
        <f t="shared" si="0"/>
        <v>109.53609322065951</v>
      </c>
      <c r="F34" s="154">
        <f t="shared" si="0"/>
        <v>112.717024782623</v>
      </c>
      <c r="G34" s="154">
        <f t="shared" si="0"/>
        <v>115.89795634458645</v>
      </c>
      <c r="H34" s="154"/>
      <c r="I34" s="8"/>
      <c r="J34" s="40" t="s">
        <v>300</v>
      </c>
      <c r="K34" s="347">
        <f>K32+K33</f>
        <v>21917.890834553102</v>
      </c>
      <c r="L34" s="347">
        <f>L32+L33</f>
        <v>26301.46900146372</v>
      </c>
      <c r="M34" s="347">
        <f>M32+M33</f>
        <v>30685.047168374338</v>
      </c>
      <c r="N34" s="347">
        <f>N32+N33</f>
        <v>35068.625335284967</v>
      </c>
      <c r="O34" s="347">
        <f>O32+O33</f>
        <v>39452.203502195582</v>
      </c>
    </row>
    <row r="35" spans="2:16" ht="15" x14ac:dyDescent="0.35">
      <c r="B35" s="358">
        <f>B36-B32</f>
        <v>141</v>
      </c>
      <c r="C35" s="154">
        <f t="shared" si="0"/>
        <v>104.28247712460271</v>
      </c>
      <c r="D35" s="154">
        <f t="shared" si="0"/>
        <v>107.46340868656617</v>
      </c>
      <c r="E35" s="154">
        <f t="shared" si="0"/>
        <v>110.64434024852964</v>
      </c>
      <c r="F35" s="154">
        <f t="shared" si="0"/>
        <v>113.82527181049312</v>
      </c>
      <c r="G35" s="154">
        <f t="shared" si="0"/>
        <v>117.0062033724566</v>
      </c>
      <c r="H35" s="154"/>
    </row>
    <row r="36" spans="2:16" ht="15.45" x14ac:dyDescent="0.4">
      <c r="B36" s="359">
        <f>'1. CattleFinisih&amp;ROI Projection'!F12</f>
        <v>143</v>
      </c>
      <c r="C36" s="154">
        <f t="shared" si="0"/>
        <v>103.96159737839419</v>
      </c>
      <c r="D36" s="154">
        <f t="shared" si="0"/>
        <v>108.57165571443632</v>
      </c>
      <c r="E36" s="96">
        <f t="shared" si="0"/>
        <v>111.75258727639978</v>
      </c>
      <c r="F36" s="154">
        <f t="shared" si="0"/>
        <v>114.93351883836326</v>
      </c>
      <c r="G36" s="154">
        <f t="shared" si="0"/>
        <v>118.11445040032673</v>
      </c>
      <c r="H36" s="154"/>
      <c r="J36" s="24" t="s">
        <v>301</v>
      </c>
      <c r="K36" s="348">
        <f>'1. CattleFinisih&amp;ROI Projection'!F50-'1. CattleFinisih&amp;ROI Projection'!F42</f>
        <v>10236.842105263164</v>
      </c>
      <c r="L36" s="348">
        <f>$K$36</f>
        <v>10236.842105263164</v>
      </c>
      <c r="M36" s="348">
        <f>$K$36</f>
        <v>10236.842105263164</v>
      </c>
      <c r="N36" s="348">
        <f>$K$36</f>
        <v>10236.842105263164</v>
      </c>
      <c r="O36" s="348">
        <f>$K$36</f>
        <v>10236.842105263164</v>
      </c>
    </row>
    <row r="37" spans="2:16" ht="15" x14ac:dyDescent="0.35">
      <c r="B37" s="358">
        <f>B36+B32</f>
        <v>145</v>
      </c>
      <c r="C37" s="154">
        <f t="shared" si="0"/>
        <v>106.49897118034298</v>
      </c>
      <c r="D37" s="154">
        <f t="shared" si="0"/>
        <v>109.67990274230645</v>
      </c>
      <c r="E37" s="154">
        <f t="shared" si="0"/>
        <v>112.86083430426991</v>
      </c>
      <c r="F37" s="154">
        <f t="shared" si="0"/>
        <v>116.04176586623339</v>
      </c>
      <c r="G37" s="154">
        <f t="shared" si="0"/>
        <v>119.22269742819687</v>
      </c>
      <c r="H37" s="154"/>
      <c r="J37" s="24" t="s">
        <v>302</v>
      </c>
      <c r="K37" s="23">
        <f>K36*0.5*$I$26*0.01</f>
        <v>92.995104921640845</v>
      </c>
      <c r="L37" s="23">
        <f>L36*0.5*$I$26*0.01</f>
        <v>92.995104921640845</v>
      </c>
      <c r="M37" s="397">
        <f>M36*0.5*$I$26*0.01</f>
        <v>92.995104921640845</v>
      </c>
      <c r="N37" s="23">
        <f>N36*0.5*$I$26*0.01</f>
        <v>92.995104921640845</v>
      </c>
      <c r="O37" s="23">
        <f>O36*0.5*$I$26*0.01</f>
        <v>92.995104921640845</v>
      </c>
    </row>
    <row r="38" spans="2:16" ht="15" x14ac:dyDescent="0.35">
      <c r="B38" s="358">
        <f>B37+B32</f>
        <v>147</v>
      </c>
      <c r="C38" s="154">
        <f t="shared" si="0"/>
        <v>107.60721820821311</v>
      </c>
      <c r="D38" s="154">
        <f t="shared" si="0"/>
        <v>110.78814977017656</v>
      </c>
      <c r="E38" s="154">
        <f t="shared" si="0"/>
        <v>113.96908133214004</v>
      </c>
      <c r="F38" s="154">
        <f t="shared" si="0"/>
        <v>117.15001289410353</v>
      </c>
      <c r="G38" s="154">
        <f t="shared" si="0"/>
        <v>120.33094445606699</v>
      </c>
      <c r="H38" s="154"/>
      <c r="J38" s="40" t="s">
        <v>303</v>
      </c>
      <c r="K38" s="347">
        <f>K34+K36+K37</f>
        <v>32247.728044737905</v>
      </c>
      <c r="L38" s="347">
        <f>L34+L36+L37</f>
        <v>36631.306211648523</v>
      </c>
      <c r="M38" s="347">
        <f>M34+M36+M37</f>
        <v>41014.884378559138</v>
      </c>
      <c r="N38" s="347">
        <f>N34+N36+N37</f>
        <v>45398.462545469774</v>
      </c>
      <c r="O38" s="347">
        <f>O34+O36+O37</f>
        <v>49782.040712380382</v>
      </c>
    </row>
    <row r="39" spans="2:16" x14ac:dyDescent="0.3">
      <c r="B39" t="s">
        <v>316</v>
      </c>
      <c r="M39" s="396"/>
      <c r="P39" s="23"/>
    </row>
    <row r="40" spans="2:16" ht="15.45" x14ac:dyDescent="0.4">
      <c r="E40" s="40" t="s">
        <v>342</v>
      </c>
      <c r="G40" s="373">
        <f>B36</f>
        <v>143</v>
      </c>
      <c r="J40" s="40" t="s">
        <v>304</v>
      </c>
      <c r="K40" s="349">
        <f>B34</f>
        <v>139</v>
      </c>
      <c r="L40" s="349">
        <f>B35</f>
        <v>141</v>
      </c>
      <c r="M40" s="349">
        <f>B36</f>
        <v>143</v>
      </c>
      <c r="N40" s="349">
        <f>B37</f>
        <v>145</v>
      </c>
      <c r="O40" s="349">
        <f>B38</f>
        <v>147</v>
      </c>
    </row>
    <row r="41" spans="2:16" x14ac:dyDescent="0.3">
      <c r="J41" s="24" t="s">
        <v>306</v>
      </c>
      <c r="K41" s="159">
        <f>K40*'1. CattleFinisih&amp;ROI Projection'!$F$11*'1. CattleFinisih&amp;ROI Projection'!$F$10*0.01</f>
        <v>104250</v>
      </c>
      <c r="L41" s="159">
        <f>L40*'1. CattleFinisih&amp;ROI Projection'!$F$11*'1. CattleFinisih&amp;ROI Projection'!$F$10*0.01</f>
        <v>105750</v>
      </c>
      <c r="M41" s="159">
        <f>M40*'1. CattleFinisih&amp;ROI Projection'!$F$11*'1. CattleFinisih&amp;ROI Projection'!$F$10*0.01</f>
        <v>107250</v>
      </c>
      <c r="N41" s="159">
        <f>N40*'1. CattleFinisih&amp;ROI Projection'!$F$11*'1. CattleFinisih&amp;ROI Projection'!$F$10*0.01</f>
        <v>108750</v>
      </c>
      <c r="O41" s="159">
        <f>O40*'1. CattleFinisih&amp;ROI Projection'!$F$11*'1. CattleFinisih&amp;ROI Projection'!$F$10*0.01</f>
        <v>110250</v>
      </c>
    </row>
    <row r="42" spans="2:16" x14ac:dyDescent="0.3">
      <c r="J42" s="24" t="s">
        <v>305</v>
      </c>
      <c r="K42" s="159">
        <f>L42</f>
        <v>1147.9591836734694</v>
      </c>
      <c r="L42" s="159">
        <f>M42</f>
        <v>1147.9591836734694</v>
      </c>
      <c r="M42" s="159">
        <f>('1. CattleFinisih&amp;ROI Projection'!M17*'1. CattleFinisih&amp;ROI Projection'!F10)</f>
        <v>1147.9591836734694</v>
      </c>
      <c r="N42" s="159">
        <f>M42</f>
        <v>1147.9591836734694</v>
      </c>
      <c r="O42" s="159">
        <f>N42</f>
        <v>1147.9591836734694</v>
      </c>
    </row>
    <row r="43" spans="2:16" x14ac:dyDescent="0.3">
      <c r="J43" s="24" t="s">
        <v>308</v>
      </c>
      <c r="K43" s="349">
        <f>K41+K42</f>
        <v>105397.95918367348</v>
      </c>
      <c r="L43" s="349">
        <f>L41+L42</f>
        <v>106897.95918367348</v>
      </c>
      <c r="M43" s="349">
        <f>M41+M42</f>
        <v>108397.95918367348</v>
      </c>
      <c r="N43" s="349">
        <f>N41+N42</f>
        <v>109897.95918367348</v>
      </c>
      <c r="O43" s="349">
        <f>O41+O42</f>
        <v>111397.95918367348</v>
      </c>
    </row>
    <row r="44" spans="2:16" x14ac:dyDescent="0.3">
      <c r="J44" s="24" t="s">
        <v>302</v>
      </c>
      <c r="K44" s="159">
        <f>$I$26*K43*0.01</f>
        <v>1914.9448964877947</v>
      </c>
      <c r="L44" s="159">
        <f>$I$26*L43*0.01</f>
        <v>1942.1979606550624</v>
      </c>
      <c r="M44" s="159">
        <f>$I$26*M43*0.01</f>
        <v>1969.4510248223301</v>
      </c>
      <c r="N44" s="159">
        <f>$I$26*N43*0.01</f>
        <v>1996.7040889895973</v>
      </c>
      <c r="O44" s="159">
        <f>$I$26*O43*0.01</f>
        <v>2023.9571531568649</v>
      </c>
    </row>
    <row r="45" spans="2:16" x14ac:dyDescent="0.3">
      <c r="J45" s="40" t="s">
        <v>307</v>
      </c>
      <c r="K45" s="349">
        <f>K43+K44</f>
        <v>107312.90408016127</v>
      </c>
      <c r="L45" s="349">
        <f>L43+L44</f>
        <v>108840.15714432854</v>
      </c>
      <c r="M45" s="349">
        <f>M43+M44</f>
        <v>110367.4102084958</v>
      </c>
      <c r="N45" s="349">
        <f>N43+N44</f>
        <v>111894.66327266308</v>
      </c>
      <c r="O45" s="349">
        <f>O43+O44</f>
        <v>113421.91633683034</v>
      </c>
    </row>
    <row r="47" spans="2:16" x14ac:dyDescent="0.3">
      <c r="J47" s="24" t="s">
        <v>159</v>
      </c>
      <c r="K47" s="23">
        <f>L47</f>
        <v>2522.7108868060559</v>
      </c>
      <c r="L47" s="23">
        <f>M47</f>
        <v>2522.7108868060559</v>
      </c>
      <c r="M47" s="23">
        <f>('1. CattleFinisih&amp;ROI Projection'!E55*'1. CattleFinisih&amp;ROI Projection'!F10)*(1+(I26*0.01*0.5))</f>
        <v>2522.7108868060559</v>
      </c>
      <c r="N47" s="23">
        <f>M47</f>
        <v>2522.7108868060559</v>
      </c>
      <c r="O47" s="23">
        <f>N47</f>
        <v>2522.7108868060559</v>
      </c>
    </row>
    <row r="48" spans="2:16" x14ac:dyDescent="0.3">
      <c r="J48" s="24" t="s">
        <v>313</v>
      </c>
      <c r="K48" s="23">
        <f>'1. CattleFinisih&amp;ROI Projection'!F29*'1. CattleFinisih&amp;ROI Projection'!F30</f>
        <v>99</v>
      </c>
      <c r="L48" s="23">
        <f>M48</f>
        <v>99</v>
      </c>
      <c r="M48" s="23">
        <f>K48</f>
        <v>99</v>
      </c>
      <c r="N48" s="23">
        <f>M48</f>
        <v>99</v>
      </c>
      <c r="O48" s="23">
        <f>N48</f>
        <v>99</v>
      </c>
    </row>
    <row r="49" spans="9:20" x14ac:dyDescent="0.3">
      <c r="J49" s="24" t="s">
        <v>314</v>
      </c>
      <c r="K49" s="347">
        <f>K47+K48</f>
        <v>2621.7108868060559</v>
      </c>
      <c r="L49" s="347">
        <f>L47+L48</f>
        <v>2621.7108868060559</v>
      </c>
      <c r="M49" s="347">
        <f>M47+M48</f>
        <v>2621.7108868060559</v>
      </c>
      <c r="N49" s="347">
        <f>N47+N48</f>
        <v>2621.7108868060559</v>
      </c>
      <c r="O49" s="347">
        <f>O47+O48</f>
        <v>2621.7108868060559</v>
      </c>
    </row>
    <row r="50" spans="9:20" x14ac:dyDescent="0.3">
      <c r="M50" s="23"/>
    </row>
    <row r="51" spans="9:20" x14ac:dyDescent="0.3">
      <c r="J51" s="24" t="s">
        <v>309</v>
      </c>
      <c r="K51" s="347">
        <f>K49+K45+K38</f>
        <v>142182.34301170523</v>
      </c>
      <c r="L51" s="347">
        <f>L49+L45+L38</f>
        <v>148093.17424278311</v>
      </c>
      <c r="M51" s="347">
        <f>M49+M45+M38</f>
        <v>154004.00547386101</v>
      </c>
      <c r="N51" s="347">
        <f>N49+N45+N38</f>
        <v>159914.83670493891</v>
      </c>
      <c r="O51" s="347">
        <f>O49+O45+O38</f>
        <v>165825.66793601678</v>
      </c>
    </row>
    <row r="52" spans="9:20" x14ac:dyDescent="0.3">
      <c r="I52" t="s">
        <v>321</v>
      </c>
      <c r="J52" s="354">
        <f>'1. CattleFinisih&amp;ROI Projection'!H72*0.01</f>
        <v>1378.08</v>
      </c>
      <c r="M52" s="348">
        <f>'1. CattleFinisih&amp;ROI Projection'!F63</f>
        <v>153905.00547386101</v>
      </c>
    </row>
    <row r="53" spans="9:20" x14ac:dyDescent="0.3">
      <c r="J53" s="40" t="s">
        <v>310</v>
      </c>
      <c r="K53" s="347">
        <f>(K51/$J$52)</f>
        <v>103.17423009673259</v>
      </c>
      <c r="L53" s="347">
        <f>(L51/$J$52)</f>
        <v>107.46340868656617</v>
      </c>
      <c r="M53" s="347">
        <f>(M51/$J$52)</f>
        <v>111.75258727639978</v>
      </c>
      <c r="N53" s="347">
        <f>(N51/$J$52)</f>
        <v>116.04176586623339</v>
      </c>
      <c r="O53" s="347">
        <f>(O51/$J$52)</f>
        <v>120.33094445606699</v>
      </c>
      <c r="T53" s="24" t="s">
        <v>350</v>
      </c>
    </row>
    <row r="54" spans="9:20" x14ac:dyDescent="0.3">
      <c r="J54" s="40"/>
      <c r="K54" s="347"/>
      <c r="L54" s="347"/>
      <c r="M54" s="395"/>
      <c r="N54" s="395"/>
      <c r="P54" s="395">
        <f>M44+M33+M37</f>
        <v>2338.6904812169032</v>
      </c>
      <c r="Q54" s="24" t="s">
        <v>163</v>
      </c>
      <c r="R54" s="348">
        <f>'1. CattleFinisih&amp;ROI Projection'!F61</f>
        <v>2361.40136802296</v>
      </c>
      <c r="S54" s="23">
        <f>R54-P54</f>
        <v>22.710886806056806</v>
      </c>
      <c r="T54" s="24" t="s">
        <v>348</v>
      </c>
    </row>
    <row r="56" spans="9:20" x14ac:dyDescent="0.3">
      <c r="J56" s="24" t="s">
        <v>315</v>
      </c>
      <c r="K56" s="23">
        <f>K38+K49</f>
        <v>34869.438931543962</v>
      </c>
      <c r="L56" s="23">
        <f>L38+L49</f>
        <v>39253.017098454577</v>
      </c>
      <c r="M56" s="23">
        <f>M38+M49</f>
        <v>43636.595265365191</v>
      </c>
      <c r="N56" s="23">
        <f>N38+N49</f>
        <v>48020.173432275828</v>
      </c>
      <c r="O56" s="23">
        <f>O38+O49</f>
        <v>52403.751599186435</v>
      </c>
    </row>
    <row r="57" spans="9:20" x14ac:dyDescent="0.3">
      <c r="J57" s="159">
        <f>B34</f>
        <v>139</v>
      </c>
      <c r="K57" s="23">
        <f>K56+K45</f>
        <v>142182.34301170523</v>
      </c>
      <c r="L57" s="23">
        <f>L56+K45</f>
        <v>146565.92117861586</v>
      </c>
      <c r="M57" s="23">
        <f>$M$56+K45</f>
        <v>150949.49934552645</v>
      </c>
      <c r="N57" s="23">
        <f>$N$56+K$45</f>
        <v>155333.0775124371</v>
      </c>
      <c r="O57" s="23">
        <f>$O$56+K$45</f>
        <v>159716.65567934769</v>
      </c>
    </row>
    <row r="58" spans="9:20" x14ac:dyDescent="0.3">
      <c r="J58" s="159">
        <f>B35</f>
        <v>141</v>
      </c>
      <c r="K58" s="23">
        <f>K56+L45</f>
        <v>143709.59607587248</v>
      </c>
      <c r="L58" s="23">
        <f>L56+L45</f>
        <v>148093.17424278311</v>
      </c>
      <c r="M58" s="23">
        <f>$M$56+L45</f>
        <v>152476.75240969373</v>
      </c>
      <c r="N58" s="23">
        <f>$N$56+L$45</f>
        <v>156860.33057660435</v>
      </c>
      <c r="O58" s="23">
        <f>$O$56+L$45</f>
        <v>161243.90874351497</v>
      </c>
    </row>
    <row r="59" spans="9:20" x14ac:dyDescent="0.3">
      <c r="J59" s="159">
        <f>B36</f>
        <v>143</v>
      </c>
      <c r="K59" s="23">
        <f>K56+M43</f>
        <v>143267.39811521745</v>
      </c>
      <c r="L59" s="23">
        <f>L56+M45</f>
        <v>149620.42730695038</v>
      </c>
      <c r="M59" s="23">
        <f>$M$56+M45</f>
        <v>154004.00547386101</v>
      </c>
      <c r="N59" s="23">
        <f>$N$56+M$45</f>
        <v>158387.58364077163</v>
      </c>
      <c r="O59" s="23">
        <f>$O$56+M$45</f>
        <v>162771.16180768225</v>
      </c>
    </row>
    <row r="60" spans="9:20" x14ac:dyDescent="0.3">
      <c r="J60" s="159">
        <f>B37</f>
        <v>145</v>
      </c>
      <c r="K60" s="23">
        <f>K56+N45</f>
        <v>146764.10220420704</v>
      </c>
      <c r="L60" s="23">
        <f>L56+N45</f>
        <v>151147.68037111766</v>
      </c>
      <c r="M60" s="23">
        <f>$M$56+N45</f>
        <v>155531.25853802828</v>
      </c>
      <c r="N60" s="23">
        <f>$N$56+N$45</f>
        <v>159914.83670493891</v>
      </c>
      <c r="O60" s="23">
        <f>$O$56+N$45</f>
        <v>164298.41487184953</v>
      </c>
    </row>
    <row r="61" spans="9:20" x14ac:dyDescent="0.3">
      <c r="J61" s="159">
        <f>B38</f>
        <v>147</v>
      </c>
      <c r="K61" s="23">
        <f>K56+O45</f>
        <v>148291.35526837432</v>
      </c>
      <c r="L61" s="23">
        <f>L56+O45</f>
        <v>152674.93343528491</v>
      </c>
      <c r="M61" s="23">
        <f>$M$56+O45</f>
        <v>157058.51160219553</v>
      </c>
      <c r="N61" s="23">
        <f>$N$56+O$45</f>
        <v>161442.08976910618</v>
      </c>
      <c r="O61" s="23">
        <f>$O$56+O$45</f>
        <v>165825.66793601678</v>
      </c>
    </row>
    <row r="65" spans="2:7" ht="14.15" x14ac:dyDescent="0.35">
      <c r="C65" s="371">
        <f>B36</f>
        <v>143</v>
      </c>
      <c r="D65" s="24" t="s">
        <v>336</v>
      </c>
    </row>
    <row r="66" spans="2:7" x14ac:dyDescent="0.3">
      <c r="B66" s="374" t="s">
        <v>333</v>
      </c>
      <c r="C66" s="375">
        <f>C30</f>
        <v>2.5</v>
      </c>
      <c r="D66" s="375">
        <f>D30</f>
        <v>3</v>
      </c>
      <c r="E66" s="375">
        <f>E30</f>
        <v>3.5</v>
      </c>
      <c r="F66" s="375">
        <f>F30</f>
        <v>4</v>
      </c>
      <c r="G66" s="375">
        <f>G30</f>
        <v>4.5</v>
      </c>
    </row>
    <row r="67" spans="2:7" x14ac:dyDescent="0.3">
      <c r="B67" s="374" t="s">
        <v>309</v>
      </c>
      <c r="C67" s="376">
        <f>C36</f>
        <v>103.96159737839419</v>
      </c>
      <c r="D67" s="376">
        <f>D36</f>
        <v>108.57165571443632</v>
      </c>
      <c r="E67" s="376">
        <f>E36</f>
        <v>111.75258727639978</v>
      </c>
      <c r="F67" s="376">
        <f>F36</f>
        <v>114.93351883836326</v>
      </c>
      <c r="G67" s="376">
        <f>G36</f>
        <v>118.11445040032673</v>
      </c>
    </row>
  </sheetData>
  <sheetProtection sheet="1"/>
  <mergeCells count="5">
    <mergeCell ref="B1:G1"/>
    <mergeCell ref="C29:G29"/>
    <mergeCell ref="C33:G33"/>
    <mergeCell ref="K29:O29"/>
    <mergeCell ref="B27:G27"/>
  </mergeCells>
  <phoneticPr fontId="28" type="noConversion"/>
  <pageMargins left="0.95" right="0.45" top="0.75" bottom="0.75" header="0.3" footer="0.3"/>
  <pageSetup paperSize="0" scale="77" orientation="portrait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8"/>
  <sheetViews>
    <sheetView topLeftCell="A45" zoomScaleNormal="100" workbookViewId="0">
      <selection activeCell="C20" sqref="C20"/>
    </sheetView>
  </sheetViews>
  <sheetFormatPr defaultRowHeight="12.45" x14ac:dyDescent="0.3"/>
  <cols>
    <col min="1" max="1" width="4.69140625" customWidth="1"/>
    <col min="2" max="2" width="63" customWidth="1"/>
    <col min="3" max="3" width="15.84375" customWidth="1"/>
  </cols>
  <sheetData>
    <row r="1" spans="2:6" ht="15" x14ac:dyDescent="0.35">
      <c r="B1" s="407" t="s">
        <v>215</v>
      </c>
      <c r="C1" s="407"/>
    </row>
    <row r="2" spans="2:6" ht="15.45" x14ac:dyDescent="0.4">
      <c r="B2" s="8" t="s">
        <v>0</v>
      </c>
      <c r="C2" s="364">
        <f>'1. CattleFinisih&amp;ROI Projection'!E4</f>
        <v>44036</v>
      </c>
      <c r="D2" s="6"/>
    </row>
    <row r="3" spans="2:6" ht="15" x14ac:dyDescent="0.35">
      <c r="B3" s="13" t="s">
        <v>73</v>
      </c>
      <c r="C3" s="61" t="str">
        <f>'1. CattleFinisih&amp;ROI Projection'!C5</f>
        <v>TX</v>
      </c>
    </row>
    <row r="4" spans="2:6" ht="15" x14ac:dyDescent="0.35">
      <c r="B4" s="13" t="s">
        <v>74</v>
      </c>
      <c r="C4" s="61" t="str">
        <f>'1. CattleFinisih&amp;ROI Projection'!C6</f>
        <v>TX</v>
      </c>
    </row>
    <row r="5" spans="2:6" ht="15" x14ac:dyDescent="0.35">
      <c r="B5" s="8" t="s">
        <v>240</v>
      </c>
      <c r="C5" s="61">
        <f>'1. CattleFinisih&amp;ROI Projection'!D4</f>
        <v>20</v>
      </c>
    </row>
    <row r="6" spans="2:6" ht="15" x14ac:dyDescent="0.35">
      <c r="B6" s="13" t="s">
        <v>75</v>
      </c>
      <c r="C6" s="61">
        <f>'1. CattleFinisih&amp;ROI Projection'!F10</f>
        <v>100</v>
      </c>
    </row>
    <row r="7" spans="2:6" ht="15" x14ac:dyDescent="0.35">
      <c r="B7" s="8" t="s">
        <v>214</v>
      </c>
      <c r="C7" s="61" t="str">
        <f>'1. CattleFinisih&amp;ROI Projection'!E6</f>
        <v>Angus</v>
      </c>
    </row>
    <row r="8" spans="2:6" ht="15" x14ac:dyDescent="0.35">
      <c r="B8" s="8" t="s">
        <v>208</v>
      </c>
      <c r="C8" s="344">
        <f>'1. CattleFinisih&amp;ROI Projection'!F6</f>
        <v>1</v>
      </c>
    </row>
    <row r="9" spans="2:6" ht="15" x14ac:dyDescent="0.35">
      <c r="B9" s="13" t="s">
        <v>76</v>
      </c>
      <c r="C9" s="61" t="str">
        <f>'1. CattleFinisih&amp;ROI Projection'!E5</f>
        <v>Steers</v>
      </c>
    </row>
    <row r="10" spans="2:6" ht="15" x14ac:dyDescent="0.35">
      <c r="B10" s="13" t="s">
        <v>77</v>
      </c>
      <c r="C10" s="340" t="str">
        <f>'1. CattleFinisih&amp;ROI Projection'!C7</f>
        <v>L</v>
      </c>
    </row>
    <row r="11" spans="2:6" ht="15" x14ac:dyDescent="0.35">
      <c r="B11" s="13" t="s">
        <v>78</v>
      </c>
      <c r="C11" s="340">
        <f>'1. CattleFinisih&amp;ROI Projection'!E7</f>
        <v>1</v>
      </c>
    </row>
    <row r="12" spans="2:6" ht="15" x14ac:dyDescent="0.35">
      <c r="B12" s="319" t="s">
        <v>326</v>
      </c>
      <c r="C12" s="366">
        <f>'1. CattleFinisih&amp;ROI Projection'!C8</f>
        <v>3</v>
      </c>
      <c r="F12" s="8" t="str">
        <f>'1. CattleFinisih&amp;ROI Projection'!D8</f>
        <v xml:space="preserve">Pricing based on estimated feeder price </v>
      </c>
    </row>
    <row r="13" spans="2:6" ht="15" x14ac:dyDescent="0.35">
      <c r="B13" s="8" t="s">
        <v>327</v>
      </c>
      <c r="C13" s="339">
        <f>'1. CattleFinisih&amp;ROI Projection'!F9</f>
        <v>44075</v>
      </c>
    </row>
    <row r="14" spans="2:6" ht="15" x14ac:dyDescent="0.35">
      <c r="B14" s="8" t="s">
        <v>219</v>
      </c>
      <c r="C14" s="339">
        <f>'1. CattleFinisih&amp;ROI Projection'!F18</f>
        <v>44259.210526315786</v>
      </c>
    </row>
    <row r="15" spans="2:6" ht="15.45" x14ac:dyDescent="0.4">
      <c r="B15" s="1" t="s">
        <v>209</v>
      </c>
      <c r="C15" s="64"/>
    </row>
    <row r="16" spans="2:6" ht="15" x14ac:dyDescent="0.35">
      <c r="B16" s="13" t="s">
        <v>80</v>
      </c>
      <c r="C16" s="57">
        <f>'1. CattleFinisih&amp;ROI Projection'!F15</f>
        <v>144.53061224489795</v>
      </c>
      <c r="F16" s="24" t="s">
        <v>330</v>
      </c>
    </row>
    <row r="17" spans="2:6" ht="15" x14ac:dyDescent="0.35">
      <c r="B17" s="62" t="s">
        <v>81</v>
      </c>
      <c r="C17" s="57">
        <f>'1. CattleFinisih&amp;ROI Projection'!F32</f>
        <v>112.92816091954023</v>
      </c>
      <c r="F17" s="24" t="s">
        <v>329</v>
      </c>
    </row>
    <row r="18" spans="2:6" ht="15" x14ac:dyDescent="0.35">
      <c r="B18" s="142" t="s">
        <v>210</v>
      </c>
      <c r="C18" s="365">
        <f>'1. CattleFinisih&amp;ROI Projection'!D93</f>
        <v>-31.60245132535772</v>
      </c>
    </row>
    <row r="19" spans="2:6" ht="15.45" x14ac:dyDescent="0.4">
      <c r="B19" s="1" t="s">
        <v>287</v>
      </c>
      <c r="C19" s="287">
        <f>'1. CattleFinisih&amp;ROI Projection'!E40</f>
        <v>176.05633802816902</v>
      </c>
    </row>
    <row r="20" spans="2:6" ht="15" x14ac:dyDescent="0.35">
      <c r="B20" s="8" t="s">
        <v>226</v>
      </c>
      <c r="C20" s="57">
        <f>'1. CattleFinisih&amp;ROI Projection'!L42</f>
        <v>48.415492957746487</v>
      </c>
    </row>
    <row r="21" spans="2:6" ht="15" x14ac:dyDescent="0.35">
      <c r="B21" s="8" t="s">
        <v>254</v>
      </c>
      <c r="C21" s="299">
        <f>'1. CattleFinisih&amp;ROI Projection'!L43</f>
        <v>0.66822185344642582</v>
      </c>
    </row>
    <row r="22" spans="2:6" ht="15" x14ac:dyDescent="0.35">
      <c r="B22" s="13" t="s">
        <v>82</v>
      </c>
      <c r="C22" s="57">
        <f>'1. CattleFinisih&amp;ROI Projection'!D88</f>
        <v>64.714120688709357</v>
      </c>
    </row>
    <row r="23" spans="2:6" ht="15.45" x14ac:dyDescent="0.4">
      <c r="B23" s="1" t="s">
        <v>288</v>
      </c>
      <c r="C23" s="287">
        <f>'1. CattleFinisih&amp;ROI Projection'!O70</f>
        <v>220.84994917940139</v>
      </c>
    </row>
    <row r="24" spans="2:6" ht="15" x14ac:dyDescent="0.35">
      <c r="B24" s="8" t="s">
        <v>83</v>
      </c>
      <c r="C24" s="124">
        <f>C22/C26</f>
        <v>0.89317255756343805</v>
      </c>
    </row>
    <row r="25" spans="2:6" ht="15" x14ac:dyDescent="0.35">
      <c r="B25" s="8" t="s">
        <v>243</v>
      </c>
      <c r="C25" s="57">
        <f>'1. CattleFinisih&amp;ROI Projection'!E44/'1. CattleFinisih&amp;ROI Projection'!J26*100</f>
        <v>3.1524646541841803</v>
      </c>
    </row>
    <row r="26" spans="2:6" ht="15.45" x14ac:dyDescent="0.4">
      <c r="B26" s="76" t="s">
        <v>84</v>
      </c>
      <c r="C26" s="326">
        <f>'1. CattleFinisih&amp;ROI Projection'!D84</f>
        <v>72.454219669767454</v>
      </c>
    </row>
    <row r="27" spans="2:6" ht="15" x14ac:dyDescent="0.35">
      <c r="B27" s="8"/>
      <c r="C27" s="57"/>
    </row>
    <row r="28" spans="2:6" ht="15.45" x14ac:dyDescent="0.4">
      <c r="B28" s="76" t="s">
        <v>206</v>
      </c>
      <c r="C28" s="326">
        <f>'1. CattleFinisih&amp;ROI Projection'!D86</f>
        <v>75.191187135916678</v>
      </c>
    </row>
    <row r="29" spans="2:6" ht="15" x14ac:dyDescent="0.35">
      <c r="B29" s="8"/>
      <c r="C29" s="57"/>
    </row>
    <row r="30" spans="2:6" ht="15" x14ac:dyDescent="0.35">
      <c r="B30" s="142" t="s">
        <v>244</v>
      </c>
      <c r="C30" s="367">
        <f>'1. CattleFinisih&amp;ROI Projection'!D63</f>
        <v>111.68074819594</v>
      </c>
      <c r="E30" s="23"/>
      <c r="F30" s="24" t="s">
        <v>278</v>
      </c>
    </row>
    <row r="31" spans="2:6" ht="15" x14ac:dyDescent="0.35">
      <c r="B31" s="8"/>
      <c r="C31" s="107"/>
      <c r="E31" s="23"/>
      <c r="F31" s="24"/>
    </row>
    <row r="32" spans="2:6" ht="15.45" x14ac:dyDescent="0.4">
      <c r="B32" s="1" t="s">
        <v>328</v>
      </c>
      <c r="C32" s="287">
        <f>'1. CattleFinisih&amp;ROI Projection'!F32</f>
        <v>112.92816091954023</v>
      </c>
      <c r="E32" s="23"/>
      <c r="F32" s="24" t="s">
        <v>329</v>
      </c>
    </row>
    <row r="33" spans="1:6" ht="15.45" x14ac:dyDescent="0.4">
      <c r="B33" s="76" t="s">
        <v>88</v>
      </c>
      <c r="C33" s="331">
        <f>'1. CattleFinisih&amp;ROI Projection'!F67</f>
        <v>6.2206998852048688E-2</v>
      </c>
      <c r="E33" s="23"/>
      <c r="F33" s="24"/>
    </row>
    <row r="34" spans="1:6" x14ac:dyDescent="0.3">
      <c r="A34" s="23"/>
      <c r="B34" s="23"/>
      <c r="C34" s="23"/>
      <c r="D34" s="23"/>
      <c r="E34" s="23"/>
      <c r="F34" s="24"/>
    </row>
    <row r="35" spans="1:6" ht="15.45" x14ac:dyDescent="0.4">
      <c r="B35" s="76" t="s">
        <v>273</v>
      </c>
      <c r="C35" s="326">
        <f>'1. CattleFinisih&amp;ROI Projection'!F70</f>
        <v>111.75258727639978</v>
      </c>
      <c r="D35" s="40" t="s">
        <v>339</v>
      </c>
    </row>
    <row r="36" spans="1:6" ht="15.45" x14ac:dyDescent="0.4">
      <c r="B36" s="76" t="s">
        <v>279</v>
      </c>
      <c r="C36" s="326">
        <f>'1. CattleFinisih&amp;ROI Projection'!F72</f>
        <v>177.38505916888855</v>
      </c>
    </row>
    <row r="38" spans="1:6" ht="15" x14ac:dyDescent="0.35">
      <c r="B38" s="52" t="s">
        <v>85</v>
      </c>
      <c r="C38" s="65">
        <f>'1. CattleFinisih&amp;ROI Projection'!D96</f>
        <v>-239.41251004058881</v>
      </c>
    </row>
    <row r="39" spans="1:6" ht="15" x14ac:dyDescent="0.35">
      <c r="B39" s="52" t="s">
        <v>86</v>
      </c>
      <c r="C39" s="65">
        <f>'1. CattleFinisih&amp;ROI Projection'!D97</f>
        <v>256.77649515310412</v>
      </c>
    </row>
    <row r="40" spans="1:6" ht="15.45" x14ac:dyDescent="0.4">
      <c r="B40" s="369" t="s">
        <v>87</v>
      </c>
      <c r="C40" s="370">
        <f>'1. CattleFinisih&amp;ROI Projection'!D98</f>
        <v>17.363985112515127</v>
      </c>
    </row>
    <row r="42" spans="1:6" ht="15.45" x14ac:dyDescent="0.4">
      <c r="B42" s="240" t="s">
        <v>220</v>
      </c>
      <c r="C42" s="335">
        <f>'1. CattleFinisih&amp;ROI Projection'!F74</f>
        <v>145.29204603485198</v>
      </c>
    </row>
    <row r="43" spans="1:6" ht="15.45" x14ac:dyDescent="0.4">
      <c r="B43" s="245" t="s">
        <v>331</v>
      </c>
      <c r="C43" s="368">
        <f>C16-C42</f>
        <v>-0.761433789954026</v>
      </c>
    </row>
    <row r="44" spans="1:6" ht="15" x14ac:dyDescent="0.35">
      <c r="B44" s="245"/>
      <c r="C44" s="262"/>
    </row>
    <row r="45" spans="1:6" ht="15" x14ac:dyDescent="0.35">
      <c r="B45" s="245" t="s">
        <v>286</v>
      </c>
      <c r="C45" s="124">
        <f>'1. CattleFinisih&amp;ROI Projection'!E78*0.01</f>
        <v>0.08</v>
      </c>
      <c r="D45" s="40" t="s">
        <v>339</v>
      </c>
      <c r="F45" s="24" t="s">
        <v>341</v>
      </c>
    </row>
    <row r="46" spans="1:6" ht="15.45" x14ac:dyDescent="0.4">
      <c r="B46" s="76" t="s">
        <v>334</v>
      </c>
      <c r="C46" s="382">
        <f>'1. CattleFinisih&amp;ROI Projection'!F78</f>
        <v>113.84691941066167</v>
      </c>
      <c r="D46" s="40" t="s">
        <v>339</v>
      </c>
      <c r="F46" s="24" t="s">
        <v>340</v>
      </c>
    </row>
    <row r="47" spans="1:6" ht="15.45" x14ac:dyDescent="0.4">
      <c r="B47" s="240" t="s">
        <v>284</v>
      </c>
      <c r="C47" s="372">
        <f>'1. CattleFinisih&amp;ROI Projection'!F80</f>
        <v>180.70939588993915</v>
      </c>
      <c r="D47" s="40" t="s">
        <v>339</v>
      </c>
    </row>
    <row r="48" spans="1:6" x14ac:dyDescent="0.3">
      <c r="B48" s="24" t="s">
        <v>285</v>
      </c>
    </row>
    <row r="49" spans="2:3" ht="15" x14ac:dyDescent="0.35">
      <c r="B49" s="13"/>
      <c r="C49" s="61"/>
    </row>
    <row r="50" spans="2:3" ht="15.45" x14ac:dyDescent="0.4">
      <c r="B50" s="1" t="s">
        <v>211</v>
      </c>
      <c r="C50" s="61"/>
    </row>
    <row r="51" spans="2:3" ht="15" x14ac:dyDescent="0.35">
      <c r="B51" s="8" t="s">
        <v>212</v>
      </c>
      <c r="C51" s="296">
        <f>'1. CattleFinisih&amp;ROI Projection'!F11</f>
        <v>750</v>
      </c>
    </row>
    <row r="52" spans="2:3" ht="15" x14ac:dyDescent="0.35">
      <c r="B52" s="8" t="s">
        <v>335</v>
      </c>
      <c r="C52" s="152">
        <f>'1. CattleFinisih&amp;ROI Projection'!$F$23</f>
        <v>1392</v>
      </c>
    </row>
    <row r="53" spans="2:3" ht="15" x14ac:dyDescent="0.35">
      <c r="B53" s="13" t="s">
        <v>90</v>
      </c>
      <c r="C53" s="337">
        <f>'1. CattleFinisih&amp;ROI Projection'!E30*0.01</f>
        <v>0.01</v>
      </c>
    </row>
    <row r="54" spans="2:3" ht="15" x14ac:dyDescent="0.35">
      <c r="B54" s="8" t="s">
        <v>213</v>
      </c>
      <c r="C54" s="152">
        <f>'1. CattleFinisih&amp;ROI Projection'!J26</f>
        <v>634.42424242424238</v>
      </c>
    </row>
    <row r="55" spans="2:3" ht="15" x14ac:dyDescent="0.35">
      <c r="B55" s="13" t="s">
        <v>91</v>
      </c>
      <c r="C55" s="152">
        <f>'1. CattleFinisih&amp;ROI Projection'!F19</f>
        <v>184.21052631578948</v>
      </c>
    </row>
    <row r="56" spans="2:3" ht="15" x14ac:dyDescent="0.35">
      <c r="B56" s="13" t="s">
        <v>92</v>
      </c>
      <c r="C56" s="125">
        <f>'1. CattleFinisih&amp;ROI Projection'!J24</f>
        <v>3.4095771428571431</v>
      </c>
    </row>
    <row r="57" spans="2:3" ht="15" x14ac:dyDescent="0.35">
      <c r="B57" s="13" t="s">
        <v>93</v>
      </c>
      <c r="C57" s="125">
        <f>'1. CattleFinisih&amp;ROI Projection'!E38</f>
        <v>5.5</v>
      </c>
    </row>
    <row r="58" spans="2:3" ht="15" x14ac:dyDescent="0.35">
      <c r="B58" s="8"/>
      <c r="C58" s="265"/>
    </row>
    <row r="59" spans="2:3" ht="15.45" x14ac:dyDescent="0.4">
      <c r="B59" s="1" t="s">
        <v>270</v>
      </c>
      <c r="C59" s="265"/>
    </row>
    <row r="60" spans="2:3" ht="15" x14ac:dyDescent="0.35">
      <c r="B60" s="8" t="s">
        <v>268</v>
      </c>
      <c r="C60" s="338">
        <f>'1. CattleFinisih&amp;ROI Projection'!E72*0.01</f>
        <v>0.63</v>
      </c>
    </row>
    <row r="61" spans="2:3" ht="15" x14ac:dyDescent="0.35">
      <c r="B61" s="8" t="s">
        <v>269</v>
      </c>
      <c r="C61" s="80">
        <f>C52*C60</f>
        <v>876.96</v>
      </c>
    </row>
    <row r="62" spans="2:3" ht="15.45" x14ac:dyDescent="0.4">
      <c r="B62" s="240"/>
      <c r="C62" s="265"/>
    </row>
    <row r="63" spans="2:3" ht="15" x14ac:dyDescent="0.35">
      <c r="B63" s="8"/>
      <c r="C63" s="265"/>
    </row>
    <row r="64" spans="2:3" x14ac:dyDescent="0.3">
      <c r="B64" s="24"/>
    </row>
    <row r="65" spans="2:2" ht="15" x14ac:dyDescent="0.35">
      <c r="B65" s="13"/>
    </row>
    <row r="66" spans="2:2" ht="15" x14ac:dyDescent="0.35">
      <c r="B66" s="13"/>
    </row>
    <row r="67" spans="2:2" ht="15" x14ac:dyDescent="0.35">
      <c r="B67" s="13"/>
    </row>
    <row r="68" spans="2:2" ht="15" x14ac:dyDescent="0.35">
      <c r="B68" s="13"/>
    </row>
    <row r="69" spans="2:2" ht="15" x14ac:dyDescent="0.35">
      <c r="B69" s="13"/>
    </row>
    <row r="70" spans="2:2" ht="15" x14ac:dyDescent="0.35">
      <c r="B70" s="13"/>
    </row>
    <row r="71" spans="2:2" ht="15" x14ac:dyDescent="0.35">
      <c r="B71" s="13"/>
    </row>
    <row r="72" spans="2:2" ht="15" x14ac:dyDescent="0.35">
      <c r="B72" s="13"/>
    </row>
    <row r="74" spans="2:2" ht="15" x14ac:dyDescent="0.35">
      <c r="B74" s="13"/>
    </row>
    <row r="75" spans="2:2" ht="14.15" x14ac:dyDescent="0.35">
      <c r="B75" s="63"/>
    </row>
    <row r="76" spans="2:2" ht="14.15" x14ac:dyDescent="0.35">
      <c r="B76" s="63"/>
    </row>
    <row r="77" spans="2:2" ht="15" x14ac:dyDescent="0.35">
      <c r="B77" s="13"/>
    </row>
    <row r="78" spans="2:2" ht="15" x14ac:dyDescent="0.35">
      <c r="B78" s="13"/>
    </row>
  </sheetData>
  <sheetProtection sheet="1"/>
  <mergeCells count="1">
    <mergeCell ref="B1:C1"/>
  </mergeCells>
  <phoneticPr fontId="15" type="noConversion"/>
  <printOptions gridLines="1"/>
  <pageMargins left="0.95" right="0.45" top="0.75" bottom="0.75" header="0.3" footer="0.3"/>
  <pageSetup scale="75" orientation="portrait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2:L44"/>
  <sheetViews>
    <sheetView topLeftCell="A59" workbookViewId="0">
      <selection activeCell="I34" sqref="I34"/>
    </sheetView>
  </sheetViews>
  <sheetFormatPr defaultRowHeight="12.45" x14ac:dyDescent="0.3"/>
  <cols>
    <col min="1" max="1" width="4.53515625" customWidth="1"/>
    <col min="6" max="6" width="11.69140625" customWidth="1"/>
    <col min="7" max="7" width="11.15234375" customWidth="1"/>
    <col min="9" max="9" width="20" customWidth="1"/>
    <col min="10" max="10" width="16.69140625" customWidth="1"/>
    <col min="11" max="11" width="13.4609375" customWidth="1"/>
    <col min="12" max="12" width="12.84375" customWidth="1"/>
  </cols>
  <sheetData>
    <row r="32" spans="2:2" ht="15.45" x14ac:dyDescent="0.4">
      <c r="B32" s="1" t="s">
        <v>153</v>
      </c>
    </row>
    <row r="33" spans="2:12" ht="15.45" x14ac:dyDescent="0.4">
      <c r="F33" s="6" t="s">
        <v>6</v>
      </c>
      <c r="I33" s="1" t="s">
        <v>157</v>
      </c>
    </row>
    <row r="34" spans="2:12" ht="15.45" x14ac:dyDescent="0.4">
      <c r="B34" s="8" t="s">
        <v>14</v>
      </c>
      <c r="F34" s="153">
        <f>'1. CattleFinisih&amp;ROI Projection'!D96</f>
        <v>-239.41251004058881</v>
      </c>
      <c r="J34" s="6" t="s">
        <v>11</v>
      </c>
      <c r="K34" s="1" t="s">
        <v>165</v>
      </c>
      <c r="L34" s="6" t="s">
        <v>161</v>
      </c>
    </row>
    <row r="35" spans="2:12" ht="15" x14ac:dyDescent="0.35">
      <c r="B35" s="8" t="s">
        <v>15</v>
      </c>
      <c r="F35" s="153">
        <f>'1. CattleFinisih&amp;ROI Projection'!D97</f>
        <v>256.77649515310412</v>
      </c>
      <c r="I35" s="8" t="s">
        <v>158</v>
      </c>
      <c r="J35" s="154">
        <f>'1. CattleFinisih&amp;ROI Projection'!F36</f>
        <v>108397.95918367348</v>
      </c>
      <c r="K35" s="157">
        <f t="shared" ref="K35:K40" si="0">J35/$J$41</f>
        <v>0.70431730826378891</v>
      </c>
      <c r="L35" s="60">
        <f>J35/'1. CattleFinisih&amp;ROI Projection'!$F$30</f>
        <v>1094.9288806431664</v>
      </c>
    </row>
    <row r="36" spans="2:12" ht="15.45" x14ac:dyDescent="0.4">
      <c r="B36" s="1" t="s">
        <v>16</v>
      </c>
      <c r="F36" s="156">
        <f>'1. CattleFinisih&amp;ROI Projection'!D98</f>
        <v>17.363985112515127</v>
      </c>
      <c r="I36" s="8" t="s">
        <v>67</v>
      </c>
      <c r="J36" s="154">
        <f>'1. CattleFinisih&amp;ROI Projection'!F42+'1. CattleFinisih&amp;ROI Projection'!F43</f>
        <v>38145.644922164567</v>
      </c>
      <c r="K36" s="157">
        <f t="shared" si="0"/>
        <v>0.24785187983144036</v>
      </c>
      <c r="L36" s="60">
        <f>J36/'1. CattleFinisih&amp;ROI Projection'!$F$30</f>
        <v>385.30954466832895</v>
      </c>
    </row>
    <row r="37" spans="2:12" ht="15.45" x14ac:dyDescent="0.4">
      <c r="B37" s="1"/>
      <c r="F37" s="156"/>
      <c r="I37" s="285" t="s">
        <v>272</v>
      </c>
      <c r="J37" s="154">
        <f>'1. CattleFinisih&amp;ROI Projection'!F44</f>
        <v>2000</v>
      </c>
      <c r="K37" s="313">
        <f t="shared" si="0"/>
        <v>1.2995028939066422E-2</v>
      </c>
      <c r="L37" s="60">
        <f>J37/'1. CattleFinisih&amp;ROI Projection'!$F$30</f>
        <v>20.202020202020201</v>
      </c>
    </row>
    <row r="38" spans="2:12" ht="15" x14ac:dyDescent="0.35">
      <c r="I38" s="8" t="s">
        <v>164</v>
      </c>
      <c r="J38" s="154">
        <f>SUM('1. CattleFinisih&amp;ROI Projection'!F45:F47)</f>
        <v>500</v>
      </c>
      <c r="K38" s="313">
        <f t="shared" si="0"/>
        <v>3.2487572347666056E-3</v>
      </c>
      <c r="L38" s="60">
        <f>J38/'1. CattleFinisih&amp;ROI Projection'!$F$30</f>
        <v>5.0505050505050502</v>
      </c>
    </row>
    <row r="39" spans="2:12" ht="15" x14ac:dyDescent="0.35">
      <c r="G39" s="10" t="s">
        <v>162</v>
      </c>
      <c r="H39" s="10" t="s">
        <v>1</v>
      </c>
      <c r="I39" s="8" t="s">
        <v>159</v>
      </c>
      <c r="J39" s="154">
        <f>'1. CattleFinisih&amp;ROI Projection'!F55</f>
        <v>2500</v>
      </c>
      <c r="K39" s="313">
        <f t="shared" si="0"/>
        <v>1.6243786173833027E-2</v>
      </c>
      <c r="L39" s="60">
        <f>J39/'1. CattleFinisih&amp;ROI Projection'!$F$30</f>
        <v>25.252525252525253</v>
      </c>
    </row>
    <row r="40" spans="2:12" ht="15" x14ac:dyDescent="0.35">
      <c r="B40" s="8" t="s">
        <v>154</v>
      </c>
      <c r="G40" s="155">
        <f>'1. CattleFinisih&amp;ROI Projection'!K102</f>
        <v>757.57575757575762</v>
      </c>
      <c r="H40" s="8">
        <f>'1. CattleFinisih&amp;ROI Projection'!F10</f>
        <v>100</v>
      </c>
      <c r="I40" s="8" t="s">
        <v>163</v>
      </c>
      <c r="J40" s="154">
        <f>'1. CattleFinisih&amp;ROI Projection'!F61</f>
        <v>2361.40136802296</v>
      </c>
      <c r="K40" s="313">
        <f t="shared" si="0"/>
        <v>1.5343239557104702E-2</v>
      </c>
      <c r="L40" s="60">
        <f>J40/'1. CattleFinisih&amp;ROI Projection'!$F$30</f>
        <v>23.852539070938992</v>
      </c>
    </row>
    <row r="41" spans="2:12" ht="15.45" x14ac:dyDescent="0.4">
      <c r="B41" s="8" t="s">
        <v>155</v>
      </c>
      <c r="G41" s="155">
        <f>'1. CattleFinisih&amp;ROI Projection'!K103</f>
        <v>1392</v>
      </c>
      <c r="H41" s="8">
        <f>'1. CattleFinisih&amp;ROI Projection'!F30</f>
        <v>99</v>
      </c>
      <c r="I41" s="1" t="s">
        <v>160</v>
      </c>
      <c r="J41" s="88">
        <f>'1. CattleFinisih&amp;ROI Projection'!F63</f>
        <v>153905.00547386101</v>
      </c>
      <c r="L41" s="88">
        <f>SUM(L35:L40)</f>
        <v>1554.5960148874847</v>
      </c>
    </row>
    <row r="42" spans="2:12" ht="15" x14ac:dyDescent="0.35">
      <c r="B42" s="8" t="s">
        <v>156</v>
      </c>
      <c r="G42" s="155">
        <f>'1. CattleFinisih&amp;ROI Projection'!K104</f>
        <v>634.42424242424238</v>
      </c>
      <c r="H42" s="8"/>
    </row>
    <row r="44" spans="2:12" ht="15.45" x14ac:dyDescent="0.4">
      <c r="G44" s="1" t="s">
        <v>253</v>
      </c>
      <c r="L44" s="44">
        <f>'1. CattleFinisih&amp;ROI Projection'!D84</f>
        <v>72.454219669767454</v>
      </c>
    </row>
  </sheetData>
  <sheetProtection sheet="1" objects="1" scenarios="1"/>
  <phoneticPr fontId="20" type="noConversion"/>
  <pageMargins left="0.95" right="0.7" top="0.75" bottom="0.75" header="0.3" footer="0.3"/>
  <pageSetup paperSize="0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CattleFinisih&amp;ROI Projection</vt:lpstr>
      <vt:lpstr>2. Cost Sensitivity Analysis</vt:lpstr>
      <vt:lpstr>3.Performance Report</vt:lpstr>
      <vt:lpstr>4. Graphs</vt:lpstr>
      <vt:lpstr>margin_slide</vt:lpstr>
      <vt:lpstr>'1. CattleFinisih&amp;ROI Projection'!Print_Area</vt:lpstr>
      <vt:lpstr>'2. Cost Sensitivity Analysis'!Print_Area</vt:lpstr>
      <vt:lpstr>'3.Performance Report'!Print_Area</vt:lpstr>
      <vt:lpstr>'4. Graphs'!Print_Area</vt:lpstr>
      <vt:lpstr>sell_keep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Kolle</dc:creator>
  <cp:lastModifiedBy>Jim McGrann</cp:lastModifiedBy>
  <cp:lastPrinted>2020-07-24T21:28:19Z</cp:lastPrinted>
  <dcterms:created xsi:type="dcterms:W3CDTF">2000-10-06T20:53:55Z</dcterms:created>
  <dcterms:modified xsi:type="dcterms:W3CDTF">2020-07-24T22:12:55Z</dcterms:modified>
</cp:coreProperties>
</file>