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6. Stocker Feeder Update 7-23-2020\"/>
    </mc:Choice>
  </mc:AlternateContent>
  <xr:revisionPtr revIDLastSave="0" documentId="13_ncr:1_{F2362354-7BE6-46AA-8A1A-3B58EFD11FDB}" xr6:coauthVersionLast="45" xr6:coauthVersionMax="45" xr10:uidLastSave="{00000000-0000-0000-0000-000000000000}"/>
  <bookViews>
    <workbookView xWindow="857" yWindow="1046" windowWidth="15600" windowHeight="7611" tabRatio="902" xr2:uid="{00000000-000D-0000-FFFF-FFFF00000000}"/>
  </bookViews>
  <sheets>
    <sheet name="1. Stocker Financial Data " sheetId="2" r:id="rId1"/>
    <sheet name="2. StockerCloseOut" sheetId="1" r:id="rId2"/>
    <sheet name="3. StockerLotSummary" sheetId="5" r:id="rId3"/>
  </sheets>
  <definedNames>
    <definedName name="_xlnm.Print_Area" localSheetId="0">'1. Stocker Financial Data '!$B$1:$E$49</definedName>
    <definedName name="_xlnm.Print_Area" localSheetId="1">'2. StockerCloseOut'!$B$1:$G$129</definedName>
    <definedName name="_xlnm.Print_Area" localSheetId="2">'3. StockerLotSummary'!$B$1:$E$67</definedName>
  </definedName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C13" i="2" l="1"/>
  <c r="E20" i="1"/>
  <c r="C17" i="2" l="1"/>
  <c r="D16" i="1"/>
  <c r="D41" i="5" s="1"/>
  <c r="E11" i="1"/>
  <c r="D36" i="5" s="1"/>
  <c r="H12" i="2"/>
  <c r="H11" i="2"/>
  <c r="C4" i="5"/>
  <c r="C5" i="5"/>
  <c r="C6" i="5"/>
  <c r="C8" i="5"/>
  <c r="D8" i="5"/>
  <c r="C9" i="5"/>
  <c r="D37" i="5"/>
  <c r="D44" i="5"/>
  <c r="C45" i="5"/>
  <c r="D46" i="5"/>
  <c r="D47" i="5"/>
  <c r="C3" i="1"/>
  <c r="C2" i="5" s="1"/>
  <c r="C4" i="1"/>
  <c r="C3" i="5" s="1"/>
  <c r="C7" i="1"/>
  <c r="C7" i="5" s="1"/>
  <c r="C9" i="1"/>
  <c r="D42" i="1" s="1"/>
  <c r="F11" i="1"/>
  <c r="E36" i="5" s="1"/>
  <c r="C18" i="1"/>
  <c r="D42" i="5" s="1"/>
  <c r="E21" i="1"/>
  <c r="D48" i="5" s="1"/>
  <c r="F26" i="1"/>
  <c r="D26" i="1" s="1"/>
  <c r="D15" i="5" s="1"/>
  <c r="F29" i="1"/>
  <c r="F30" i="1"/>
  <c r="F31" i="1"/>
  <c r="F32" i="1"/>
  <c r="F35" i="1"/>
  <c r="F36" i="1"/>
  <c r="F37" i="1"/>
  <c r="G37" i="1" s="1"/>
  <c r="F38" i="1"/>
  <c r="G38" i="1" s="1"/>
  <c r="F39" i="1"/>
  <c r="F40" i="1"/>
  <c r="F41" i="1"/>
  <c r="G41" i="1" s="1"/>
  <c r="F42" i="1"/>
  <c r="F43" i="1"/>
  <c r="F44" i="1"/>
  <c r="G44" i="1" s="1"/>
  <c r="F45" i="1"/>
  <c r="F46" i="1"/>
  <c r="F47" i="1"/>
  <c r="F48" i="1"/>
  <c r="G48" i="1" s="1"/>
  <c r="F49" i="1"/>
  <c r="F50" i="1"/>
  <c r="G50" i="1" s="1"/>
  <c r="F51" i="1"/>
  <c r="G51" i="1" s="1"/>
  <c r="F55" i="1"/>
  <c r="D55" i="1" s="1"/>
  <c r="F56" i="1"/>
  <c r="D56" i="1" s="1"/>
  <c r="F61" i="1"/>
  <c r="D61" i="1" s="1"/>
  <c r="D10" i="2"/>
  <c r="C24" i="2"/>
  <c r="D24" i="2" s="1"/>
  <c r="C39" i="2"/>
  <c r="D39" i="2" s="1"/>
  <c r="G47" i="1"/>
  <c r="G36" i="1"/>
  <c r="G35" i="1"/>
  <c r="G11" i="1" l="1"/>
  <c r="G36" i="5" s="1"/>
  <c r="E61" i="1"/>
  <c r="L97" i="1" s="1"/>
  <c r="D41" i="1"/>
  <c r="E41" i="1" s="1"/>
  <c r="D37" i="1"/>
  <c r="E37" i="1" s="1"/>
  <c r="D44" i="1"/>
  <c r="E44" i="1" s="1"/>
  <c r="G31" i="1"/>
  <c r="E42" i="1"/>
  <c r="D13" i="1"/>
  <c r="D38" i="5" s="1"/>
  <c r="E9" i="1"/>
  <c r="D29" i="1" s="1"/>
  <c r="H30" i="1"/>
  <c r="D18" i="1"/>
  <c r="D43" i="5" s="1"/>
  <c r="D36" i="1"/>
  <c r="E36" i="1" s="1"/>
  <c r="E56" i="1"/>
  <c r="D51" i="1"/>
  <c r="E51" i="1" s="1"/>
  <c r="G32" i="1"/>
  <c r="D47" i="1"/>
  <c r="E47" i="1" s="1"/>
  <c r="C41" i="2"/>
  <c r="D10" i="5"/>
  <c r="D43" i="1"/>
  <c r="E43" i="1" s="1"/>
  <c r="D39" i="1"/>
  <c r="E39" i="1" s="1"/>
  <c r="D35" i="1"/>
  <c r="E35" i="1" s="1"/>
  <c r="F33" i="1"/>
  <c r="D40" i="1"/>
  <c r="E40" i="1" s="1"/>
  <c r="D38" i="1"/>
  <c r="E38" i="1" s="1"/>
  <c r="D45" i="1"/>
  <c r="E45" i="1" s="1"/>
  <c r="D49" i="1"/>
  <c r="E49" i="1" s="1"/>
  <c r="D46" i="1"/>
  <c r="E46" i="1" s="1"/>
  <c r="G40" i="1"/>
  <c r="I48" i="1"/>
  <c r="G42" i="1"/>
  <c r="F57" i="1"/>
  <c r="F85" i="1"/>
  <c r="G30" i="1"/>
  <c r="D50" i="1"/>
  <c r="E50" i="1" s="1"/>
  <c r="G45" i="1"/>
  <c r="E26" i="1"/>
  <c r="H39" i="1"/>
  <c r="C77" i="1" s="1"/>
  <c r="L83" i="1"/>
  <c r="G49" i="1"/>
  <c r="E55" i="1"/>
  <c r="D48" i="1"/>
  <c r="E48" i="1" s="1"/>
  <c r="D30" i="1" l="1"/>
  <c r="D32" i="1"/>
  <c r="F9" i="1"/>
  <c r="D17" i="2"/>
  <c r="D14" i="1"/>
  <c r="D39" i="5" s="1"/>
  <c r="E22" i="1"/>
  <c r="E82" i="1" s="1"/>
  <c r="D19" i="5" s="1"/>
  <c r="D10" i="1"/>
  <c r="F14" i="2" s="1"/>
  <c r="H14" i="2" s="1"/>
  <c r="H15" i="2" s="1"/>
  <c r="F15" i="2" s="1"/>
  <c r="D31" i="1"/>
  <c r="E15" i="5"/>
  <c r="J91" i="1"/>
  <c r="I51" i="1"/>
  <c r="F52" i="1"/>
  <c r="C75" i="1"/>
  <c r="L82" i="1"/>
  <c r="K91" i="1"/>
  <c r="J97" i="1" s="1"/>
  <c r="D57" i="1"/>
  <c r="E57" i="1"/>
  <c r="E29" i="1" l="1"/>
  <c r="E32" i="1"/>
  <c r="E30" i="1"/>
  <c r="E33" i="1" s="1"/>
  <c r="D35" i="5"/>
  <c r="C22" i="1"/>
  <c r="D49" i="5" s="1"/>
  <c r="L84" i="1"/>
  <c r="E23" i="1"/>
  <c r="C23" i="1"/>
  <c r="D51" i="5" s="1"/>
  <c r="E31" i="1"/>
  <c r="D33" i="1"/>
  <c r="F59" i="1"/>
  <c r="F53" i="1"/>
  <c r="C85" i="1" l="1"/>
  <c r="D17" i="5" s="1"/>
  <c r="L78" i="1"/>
  <c r="F71" i="1" s="1"/>
  <c r="D28" i="5" s="1"/>
  <c r="G57" i="5" s="1"/>
  <c r="D13" i="5"/>
  <c r="E13" i="5" s="1"/>
  <c r="E85" i="1"/>
  <c r="D50" i="5"/>
  <c r="E77" i="1"/>
  <c r="D22" i="5" s="1"/>
  <c r="D59" i="1"/>
  <c r="E59" i="1"/>
  <c r="K97" i="1" s="1"/>
  <c r="F63" i="1"/>
  <c r="G57" i="1" s="1"/>
  <c r="I50" i="1"/>
  <c r="I54" i="1" s="1"/>
  <c r="L85" i="1"/>
  <c r="L79" i="1" s="1"/>
  <c r="G43" i="1" l="1"/>
  <c r="G61" i="1"/>
  <c r="G29" i="1"/>
  <c r="E63" i="1"/>
  <c r="E26" i="5" s="1"/>
  <c r="F65" i="1"/>
  <c r="G46" i="1"/>
  <c r="C78" i="1"/>
  <c r="G39" i="1"/>
  <c r="D63" i="1"/>
  <c r="D26" i="5" s="1"/>
  <c r="G63" i="1"/>
  <c r="G33" i="1"/>
  <c r="G52" i="1"/>
  <c r="G59" i="1"/>
  <c r="D67" i="1"/>
  <c r="D43" i="2"/>
  <c r="D44" i="2" s="1"/>
  <c r="F72" i="1"/>
  <c r="D29" i="5" s="1"/>
  <c r="H57" i="5" s="1"/>
  <c r="L80" i="1"/>
  <c r="G53" i="1"/>
  <c r="E78" i="1" l="1"/>
  <c r="D23" i="5" s="1"/>
  <c r="C79" i="1"/>
  <c r="M91" i="1"/>
  <c r="F73" i="1"/>
  <c r="D30" i="5" s="1"/>
  <c r="I57" i="5" s="1"/>
  <c r="E65" i="1"/>
  <c r="M97" i="1" s="1"/>
  <c r="F67" i="1"/>
  <c r="D32" i="5" s="1"/>
  <c r="D65" i="1"/>
  <c r="L91" i="1" l="1"/>
  <c r="E79" i="1"/>
  <c r="D24" i="5" s="1"/>
  <c r="C80" i="1"/>
  <c r="D77" i="1" l="1"/>
  <c r="D75" i="1"/>
  <c r="D78" i="1"/>
  <c r="D79" i="1"/>
</calcChain>
</file>

<file path=xl/sharedStrings.xml><?xml version="1.0" encoding="utf-8"?>
<sst xmlns="http://schemas.openxmlformats.org/spreadsheetml/2006/main" count="298" uniqueCount="208">
  <si>
    <t>Date of Analysis</t>
  </si>
  <si>
    <t>$/Head</t>
  </si>
  <si>
    <t>$/Cwt.</t>
  </si>
  <si>
    <t>%</t>
  </si>
  <si>
    <t>Lb./Head</t>
  </si>
  <si>
    <t>Gross &amp; $/Cwt.</t>
  </si>
  <si>
    <t>Total</t>
  </si>
  <si>
    <t>Feed and Other</t>
  </si>
  <si>
    <t>Cattle</t>
  </si>
  <si>
    <t>$/Hd. in</t>
  </si>
  <si>
    <t>Marketing Margin</t>
  </si>
  <si>
    <t>Grazing or Feeding Margin</t>
  </si>
  <si>
    <t>Net Margin</t>
  </si>
  <si>
    <t>Feeding Margin</t>
  </si>
  <si>
    <t xml:space="preserve">Total Purchase </t>
  </si>
  <si>
    <t>Total Sales Based on Head Outs</t>
  </si>
  <si>
    <t>Total Gain Based on Head Outs</t>
  </si>
  <si>
    <t>Lot Number</t>
  </si>
  <si>
    <t>Breed</t>
  </si>
  <si>
    <t>Source of Cattle</t>
  </si>
  <si>
    <t>Sex</t>
  </si>
  <si>
    <t>Purchase Costs - Commissions</t>
  </si>
  <si>
    <t>Freight</t>
  </si>
  <si>
    <t>Cash Interest Cost</t>
  </si>
  <si>
    <t>Date Marketed</t>
  </si>
  <si>
    <t>Buyer</t>
  </si>
  <si>
    <t>Death &amp; Culling Loss</t>
  </si>
  <si>
    <t>Net Payweight In</t>
  </si>
  <si>
    <t>Net Margin Based on Number of Head Out</t>
  </si>
  <si>
    <t>Shrink % on Sales</t>
  </si>
  <si>
    <t>Total Grazing and Feed Cost</t>
  </si>
  <si>
    <t>$/Lb. Gain</t>
  </si>
  <si>
    <t>Total Payweight Sale Price</t>
  </si>
  <si>
    <t>Price Roll Back</t>
  </si>
  <si>
    <t>Total Cost of Gain  - per Head and lb. of Gain</t>
  </si>
  <si>
    <t>Head</t>
  </si>
  <si>
    <t>Days Grazed and Fed</t>
  </si>
  <si>
    <t>Days</t>
  </si>
  <si>
    <t xml:space="preserve">Percent Death &amp; Culling Loss </t>
  </si>
  <si>
    <t>Total Production Cost</t>
  </si>
  <si>
    <r>
      <t xml:space="preserve">Head Marketed </t>
    </r>
    <r>
      <rPr>
        <sz val="10"/>
        <rFont val="Arial"/>
        <family val="2"/>
      </rPr>
      <t>(including culls)</t>
    </r>
  </si>
  <si>
    <t>$/Lb.</t>
  </si>
  <si>
    <t>Net Average Daily Gain</t>
  </si>
  <si>
    <t>Processing</t>
  </si>
  <si>
    <t>Net Payweight  Per Head</t>
  </si>
  <si>
    <t>Head Days per Head</t>
  </si>
  <si>
    <t>Lb./Hd</t>
  </si>
  <si>
    <t>Net Payweight In per Head</t>
  </si>
  <si>
    <t>Days/Head</t>
  </si>
  <si>
    <t>Prior Management</t>
  </si>
  <si>
    <t>Other Charges</t>
  </si>
  <si>
    <t>Sales Revenue</t>
  </si>
  <si>
    <t>Net Gain Per Head Out</t>
  </si>
  <si>
    <t>Finance Cost : Cash Interest Cost</t>
  </si>
  <si>
    <t>Operating Cost</t>
  </si>
  <si>
    <t>Price Roll Back per Cwt.</t>
  </si>
  <si>
    <t>Per Cwt.</t>
  </si>
  <si>
    <t xml:space="preserve"> Payweight Cost of Cattle In</t>
  </si>
  <si>
    <t>Net Payweight Revenue - Head Out</t>
  </si>
  <si>
    <t>Total Cost of Cattle In</t>
  </si>
  <si>
    <t>Per Head Cattle Cost - Head Out</t>
  </si>
  <si>
    <t>Total Non-Feed Cost Including Interest</t>
  </si>
  <si>
    <t>Total Cost Per Head - Total Unit Cost per Head</t>
  </si>
  <si>
    <t>Price Out</t>
  </si>
  <si>
    <t>Cost In</t>
  </si>
  <si>
    <t>Feed and Mineral Cost</t>
  </si>
  <si>
    <t>Futures/Options (+/-)</t>
  </si>
  <si>
    <t>Fertilizer</t>
  </si>
  <si>
    <t>Seed, Planting &amp; Protection</t>
  </si>
  <si>
    <t>Land lease</t>
  </si>
  <si>
    <t>$/Head Out</t>
  </si>
  <si>
    <t>Days Grazed and Fed - Head Out</t>
  </si>
  <si>
    <t xml:space="preserve">Return on Operating Assets - ROA  </t>
  </si>
  <si>
    <t>Acres Grazed</t>
  </si>
  <si>
    <t>Acres/Head</t>
  </si>
  <si>
    <t>Lb./Acre</t>
  </si>
  <si>
    <t>Acres</t>
  </si>
  <si>
    <t>Grazing Acres per Head - Stocking Rate</t>
  </si>
  <si>
    <t>Net Gain Per Acre Grazed</t>
  </si>
  <si>
    <t xml:space="preserve">   Feed and Grazing Cost of Net Gain </t>
  </si>
  <si>
    <t xml:space="preserve">Annualized Return on  Operating Capital Assets - ROA </t>
  </si>
  <si>
    <t>Grazing Acre - Stocking Rate</t>
  </si>
  <si>
    <t>Pounds per Acre - Stocking Rate</t>
  </si>
  <si>
    <t>Lb./Day</t>
  </si>
  <si>
    <t>Head In</t>
  </si>
  <si>
    <t>Buyer of Cattle</t>
  </si>
  <si>
    <t>$/Head In</t>
  </si>
  <si>
    <t>Grazing &amp; Feed Cost of Gain</t>
  </si>
  <si>
    <t>Stocker</t>
  </si>
  <si>
    <t>Date Started</t>
  </si>
  <si>
    <t>Net Revenue</t>
  </si>
  <si>
    <t xml:space="preserve">Hired Labor or Care Fee </t>
  </si>
  <si>
    <t>Production Numbers Calculated</t>
  </si>
  <si>
    <t>Calculated Economic Measures</t>
  </si>
  <si>
    <t>Management Description in This Phase</t>
  </si>
  <si>
    <t>In Date - Purchased or Retained</t>
  </si>
  <si>
    <t>Total Unit Cost (TUC)</t>
  </si>
  <si>
    <r>
      <t xml:space="preserve">Cattle Net Payweight Sales </t>
    </r>
    <r>
      <rPr>
        <sz val="10"/>
        <rFont val="Arial"/>
        <family val="2"/>
      </rPr>
      <t>(minus freight &amp; Mrk. Costs)</t>
    </r>
  </si>
  <si>
    <t>Feeding Cost (Not Including Feeder Cattle Cost)</t>
  </si>
  <si>
    <t>Management - Cost and or Return</t>
  </si>
  <si>
    <t>Management</t>
  </si>
  <si>
    <t>Number of Cattle In</t>
  </si>
  <si>
    <t>Total Cost of Gain</t>
  </si>
  <si>
    <t>Direct Costs</t>
  </si>
  <si>
    <t xml:space="preserve">Financial Cost of Gain </t>
  </si>
  <si>
    <t xml:space="preserve">  Head Out</t>
  </si>
  <si>
    <t>Management Description</t>
  </si>
  <si>
    <t xml:space="preserve"> Payweight  Out</t>
  </si>
  <si>
    <t>Payweight/ Hd.</t>
  </si>
  <si>
    <t>Net Gain Lbs.</t>
  </si>
  <si>
    <t>Net Gain / Hd. Out</t>
  </si>
  <si>
    <t>Net Average Daily Gain - Lbs./Day</t>
  </si>
  <si>
    <t xml:space="preserve">Stocker- Feeder Data by Lot Production Close Out </t>
  </si>
  <si>
    <t>Sub-Total Grazing Cost</t>
  </si>
  <si>
    <t>Total Direct Production Cost</t>
  </si>
  <si>
    <t>Insurance</t>
  </si>
  <si>
    <t xml:space="preserve">Veterinary  Medicine </t>
  </si>
  <si>
    <t>Payweight Cost of Cattle In</t>
  </si>
  <si>
    <t>Gasoline, Fuel and Oil</t>
  </si>
  <si>
    <t>Machinery, Vehicles, Repairs and Supplies</t>
  </si>
  <si>
    <t>Other</t>
  </si>
  <si>
    <t>Supplies</t>
  </si>
  <si>
    <t>Capital Required</t>
  </si>
  <si>
    <t>% of TUC</t>
  </si>
  <si>
    <t xml:space="preserve">       % of Total Cost</t>
  </si>
  <si>
    <t xml:space="preserve">Hired Labor or Cattle Care Fee </t>
  </si>
  <si>
    <t>*Value of Gain = ((Total Revenue-Total Cattle Cost)/Net Gain)</t>
  </si>
  <si>
    <t>Value of Gain*</t>
  </si>
  <si>
    <t>Death Loss and Culling Loss Head</t>
  </si>
  <si>
    <t>Death &amp; Culling Loss Head and Percent</t>
  </si>
  <si>
    <t>Culling Loss Hd.</t>
  </si>
  <si>
    <t>% of Breed</t>
  </si>
  <si>
    <t>Date Started - Retained or Purchased</t>
  </si>
  <si>
    <t>Number of Cattle  - Head In</t>
  </si>
  <si>
    <t>Grazing Cost</t>
  </si>
  <si>
    <t>Other Cattle Charges</t>
  </si>
  <si>
    <t>*The class capability can be used in QuickBooks Pro™ to generate these costs by lot.</t>
  </si>
  <si>
    <t>Grazing Lease Payment</t>
  </si>
  <si>
    <t>Miscellaneous</t>
  </si>
  <si>
    <t>Total Costs</t>
  </si>
  <si>
    <t>Example</t>
  </si>
  <si>
    <t>Number of Head In</t>
  </si>
  <si>
    <t>Must enter head of cattle in lot for close out.</t>
  </si>
  <si>
    <t xml:space="preserve">    Head In</t>
  </si>
  <si>
    <t>Per Hd. Out</t>
  </si>
  <si>
    <t>Annualize Capital</t>
  </si>
  <si>
    <t>__________________________________________________________________________________</t>
  </si>
  <si>
    <t>Grazing Margin</t>
  </si>
  <si>
    <t xml:space="preserve">*Annualized operating capital required is calculated by adding cost of cattle in plus </t>
  </si>
  <si>
    <t>$/Hd.Out</t>
  </si>
  <si>
    <t>Sub-Total Non-Cattle or Grazing Cost</t>
  </si>
  <si>
    <t>Annualized Total</t>
  </si>
  <si>
    <t>Operating Capital*</t>
  </si>
  <si>
    <t>Calculated Cost of Capital</t>
  </si>
  <si>
    <t>_________________________________________________________________________________________________</t>
  </si>
  <si>
    <t xml:space="preserve">  1/2 of non-cattle cost, (not including interest), times days grazed/365 or capital required adjusted of time grazed.</t>
  </si>
  <si>
    <t>Other Non-cattle or</t>
  </si>
  <si>
    <t>grazing costs</t>
  </si>
  <si>
    <t>Revenue</t>
  </si>
  <si>
    <t>Feeder Cost</t>
  </si>
  <si>
    <t>Cost of Gain</t>
  </si>
  <si>
    <t xml:space="preserve">Revenue, Stocker Cost, Cost of Gain and Margin - Head Out </t>
  </si>
  <si>
    <t>Production Costs and Margin</t>
  </si>
  <si>
    <t>Cost of Stocker</t>
  </si>
  <si>
    <t>Cost of Gain Including G&amp;A</t>
  </si>
  <si>
    <t>Finance Cost</t>
  </si>
  <si>
    <t>Margin Analysis</t>
  </si>
  <si>
    <t xml:space="preserve"> Net Margin </t>
  </si>
  <si>
    <t>Net Margin or Income</t>
  </si>
  <si>
    <t>Total Annualized Operating Capital*</t>
  </si>
  <si>
    <t>Angus</t>
  </si>
  <si>
    <t>Retained</t>
  </si>
  <si>
    <t>Weaned off the cow</t>
  </si>
  <si>
    <t>Steers</t>
  </si>
  <si>
    <t>Stocker Closeout Profitability Analysis</t>
  </si>
  <si>
    <t xml:space="preserve">Other Income </t>
  </si>
  <si>
    <t>Preconditioned 30 days and put on wheat</t>
  </si>
  <si>
    <t>Preconditioning feed and care</t>
  </si>
  <si>
    <t>Feeder Cattle Freight Calculator</t>
  </si>
  <si>
    <t xml:space="preserve">  - See Sheet 2 for Data</t>
  </si>
  <si>
    <t>Total Per Load</t>
  </si>
  <si>
    <t>Miles Hauled</t>
  </si>
  <si>
    <t>Cost per loaded mile</t>
  </si>
  <si>
    <t>Pounds load</t>
  </si>
  <si>
    <t>Weight  on Sheet 2</t>
  </si>
  <si>
    <t>Number of Hd.  On Load</t>
  </si>
  <si>
    <t>Total for Cattle</t>
  </si>
  <si>
    <t>Total Per Head</t>
  </si>
  <si>
    <r>
      <t xml:space="preserve">Freight </t>
    </r>
    <r>
      <rPr>
        <b/>
        <sz val="12"/>
        <rFont val="Arial"/>
        <family val="2"/>
      </rPr>
      <t xml:space="preserve">In  - </t>
    </r>
    <r>
      <rPr>
        <b/>
        <sz val="10"/>
        <rFont val="Arial"/>
        <family val="2"/>
      </rPr>
      <t>Use Calculator if Unknown)</t>
    </r>
  </si>
  <si>
    <t>Lb.</t>
  </si>
  <si>
    <t>Freight Shrink</t>
  </si>
  <si>
    <t>Long distance freight shrink level before it causes lower performance levels</t>
  </si>
  <si>
    <t xml:space="preserve">      Lb./Head</t>
  </si>
  <si>
    <t>Off Truck Weight - Freight Shrink</t>
  </si>
  <si>
    <t>% &amp; Lb. Head</t>
  </si>
  <si>
    <t>Lb./Head In</t>
  </si>
  <si>
    <t xml:space="preserve">Stocker Lot Closeout  Profit Summary </t>
  </si>
  <si>
    <t>Subtotal Cattle Net Payweight Costs</t>
  </si>
  <si>
    <t>Days between starting and ending.</t>
  </si>
  <si>
    <t>Stocker Cattle Closeout Data *</t>
  </si>
  <si>
    <t>Indirect Costs</t>
  </si>
  <si>
    <t>Total Indirect Costs</t>
  </si>
  <si>
    <t xml:space="preserve">Other Costs of Gain </t>
  </si>
  <si>
    <t>Breed and % of Dominant Breed</t>
  </si>
  <si>
    <t>Payweight Cost of Cattle</t>
  </si>
  <si>
    <t>$/Lb. of Gain</t>
  </si>
  <si>
    <t xml:space="preserve"> Net Margin or Income</t>
  </si>
  <si>
    <t xml:space="preserve">                 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</si>
</sst>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$-409]#,##0"/>
    <numFmt numFmtId="166" formatCode="[$$-409]#,##0.00"/>
    <numFmt numFmtId="167" formatCode="_(* #,##0_);_(* \(#,##0\);_(* &quot;-&quot;??_);_(@_)"/>
    <numFmt numFmtId="168" formatCode="[$$-409]#,##0.00_);[Red]\([$$-409]#,##0.00\)"/>
    <numFmt numFmtId="169" formatCode="&quot;$&quot;#,##0.00"/>
    <numFmt numFmtId="170" formatCode="0_);\(0\)"/>
    <numFmt numFmtId="171" formatCode="&quot;$&quot;#,##0"/>
    <numFmt numFmtId="172" formatCode="0.000"/>
    <numFmt numFmtId="173" formatCode="[$$-409]#,##0.00_);\([$$-409]#,##0.00\)"/>
    <numFmt numFmtId="174" formatCode="[$$-409]#,##0_);[Red]\([$$-409]#,##0\)"/>
    <numFmt numFmtId="175" formatCode="_(* #,##0.0_);_(* \(#,##0.0\);_(* &quot;-&quot;??_);_(@_)"/>
    <numFmt numFmtId="176" formatCode="0.0%"/>
    <numFmt numFmtId="177" formatCode="[$-409]d\-mmm\-yy;@"/>
    <numFmt numFmtId="178" formatCode="#,##0.0"/>
    <numFmt numFmtId="179" formatCode="_(&quot;$&quot;* #,##0_);_(&quot;$&quot;* \(#,##0\);_(&quot;$&quot;* &quot;-&quot;??_);_(@_)"/>
    <numFmt numFmtId="180" formatCode="&quot;$&quot;#,##0.000_);[Red]\(&quot;$&quot;#,##0.000\)"/>
    <numFmt numFmtId="181" formatCode="[$$-409]#,##0.000"/>
    <numFmt numFmtId="182" formatCode="0.0_)"/>
  </numFmts>
  <fonts count="25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sz val="12"/>
      <color indexed="3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39"/>
      <name val="Arial"/>
      <family val="2"/>
    </font>
    <font>
      <sz val="8"/>
      <name val="Arial"/>
      <family val="2"/>
    </font>
    <font>
      <b/>
      <sz val="12"/>
      <color indexed="3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color rgb="FF0099FF"/>
      <name val="Arial"/>
      <family val="2"/>
    </font>
    <font>
      <sz val="12"/>
      <color rgb="FF3333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4016B6"/>
      <name val="Arial"/>
      <family val="2"/>
    </font>
    <font>
      <sz val="12"/>
      <color rgb="FF2006B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3" fillId="0" borderId="0"/>
    <xf numFmtId="9" fontId="1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5" fontId="1" fillId="0" borderId="0" xfId="0" applyNumberFormat="1" applyFont="1" applyAlignment="1" applyProtection="1"/>
    <xf numFmtId="0" fontId="4" fillId="0" borderId="0" xfId="0" applyFont="1" applyProtection="1">
      <protection locked="0"/>
    </xf>
    <xf numFmtId="0" fontId="5" fillId="0" borderId="0" xfId="0" applyFont="1"/>
    <xf numFmtId="166" fontId="5" fillId="0" borderId="0" xfId="0" applyNumberFormat="1" applyFont="1" applyProtection="1"/>
    <xf numFmtId="7" fontId="5" fillId="0" borderId="0" xfId="0" applyNumberFormat="1" applyFont="1" applyProtection="1"/>
    <xf numFmtId="15" fontId="0" fillId="0" borderId="0" xfId="0" applyNumberFormat="1"/>
    <xf numFmtId="3" fontId="0" fillId="0" borderId="0" xfId="0" applyNumberFormat="1"/>
    <xf numFmtId="167" fontId="1" fillId="0" borderId="0" xfId="0" applyNumberFormat="1" applyFont="1"/>
    <xf numFmtId="7" fontId="5" fillId="0" borderId="0" xfId="0" applyNumberFormat="1" applyFont="1"/>
    <xf numFmtId="7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5" fontId="7" fillId="0" borderId="0" xfId="0" applyNumberFormat="1" applyFont="1" applyProtection="1"/>
    <xf numFmtId="164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Protection="1"/>
    <xf numFmtId="7" fontId="7" fillId="0" borderId="0" xfId="0" applyNumberFormat="1" applyFont="1" applyProtection="1"/>
    <xf numFmtId="5" fontId="5" fillId="0" borderId="0" xfId="0" applyNumberFormat="1" applyFont="1" applyProtection="1"/>
    <xf numFmtId="172" fontId="0" fillId="0" borderId="0" xfId="0" applyNumberFormat="1"/>
    <xf numFmtId="44" fontId="0" fillId="0" borderId="0" xfId="2" applyFont="1" applyProtection="1"/>
    <xf numFmtId="0" fontId="5" fillId="0" borderId="0" xfId="0" applyFont="1" applyProtection="1"/>
    <xf numFmtId="0" fontId="1" fillId="0" borderId="0" xfId="0" applyFont="1" applyAlignment="1" applyProtection="1">
      <alignment horizontal="center" vertical="center"/>
      <protection locked="0"/>
    </xf>
    <xf numFmtId="170" fontId="5" fillId="0" borderId="0" xfId="0" applyNumberFormat="1" applyFont="1" applyProtection="1">
      <protection locked="0"/>
    </xf>
    <xf numFmtId="0" fontId="8" fillId="0" borderId="0" xfId="0" applyFont="1"/>
    <xf numFmtId="164" fontId="0" fillId="0" borderId="0" xfId="0" applyNumberFormat="1"/>
    <xf numFmtId="173" fontId="5" fillId="0" borderId="0" xfId="0" applyNumberFormat="1" applyFont="1" applyProtection="1"/>
    <xf numFmtId="5" fontId="0" fillId="0" borderId="0" xfId="0" applyNumberFormat="1" applyProtection="1"/>
    <xf numFmtId="7" fontId="0" fillId="0" borderId="0" xfId="0" applyNumberFormat="1"/>
    <xf numFmtId="165" fontId="5" fillId="0" borderId="0" xfId="0" applyNumberFormat="1" applyFont="1"/>
    <xf numFmtId="168" fontId="0" fillId="0" borderId="0" xfId="0" applyNumberFormat="1"/>
    <xf numFmtId="44" fontId="0" fillId="0" borderId="0" xfId="0" applyNumberFormat="1"/>
    <xf numFmtId="166" fontId="0" fillId="0" borderId="0" xfId="0" applyNumberFormat="1"/>
    <xf numFmtId="16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174" fontId="5" fillId="0" borderId="0" xfId="1" applyNumberFormat="1" applyFont="1" applyBorder="1" applyProtection="1"/>
    <xf numFmtId="174" fontId="5" fillId="0" borderId="0" xfId="0" applyNumberFormat="1" applyFont="1" applyBorder="1" applyProtection="1"/>
    <xf numFmtId="9" fontId="5" fillId="0" borderId="0" xfId="5" applyFont="1" applyBorder="1" applyProtection="1"/>
    <xf numFmtId="165" fontId="5" fillId="0" borderId="0" xfId="1" applyNumberFormat="1" applyFont="1" applyBorder="1" applyProtection="1"/>
    <xf numFmtId="0" fontId="0" fillId="0" borderId="0" xfId="0" applyFill="1"/>
    <xf numFmtId="0" fontId="4" fillId="0" borderId="0" xfId="0" applyFont="1" applyFill="1" applyProtection="1">
      <protection locked="0"/>
    </xf>
    <xf numFmtId="0" fontId="5" fillId="0" borderId="0" xfId="0" applyFont="1" applyFill="1"/>
    <xf numFmtId="7" fontId="5" fillId="0" borderId="0" xfId="0" applyNumberFormat="1" applyFont="1" applyAlignment="1">
      <alignment horizontal="center"/>
    </xf>
    <xf numFmtId="167" fontId="0" fillId="0" borderId="0" xfId="0" applyNumberFormat="1"/>
    <xf numFmtId="0" fontId="7" fillId="0" borderId="0" xfId="0" applyFont="1" applyAlignment="1">
      <alignment horizontal="left"/>
    </xf>
    <xf numFmtId="8" fontId="0" fillId="0" borderId="0" xfId="0" applyNumberFormat="1"/>
    <xf numFmtId="8" fontId="7" fillId="0" borderId="0" xfId="0" applyNumberFormat="1" applyFont="1"/>
    <xf numFmtId="15" fontId="5" fillId="0" borderId="0" xfId="0" applyNumberFormat="1" applyFont="1" applyFill="1" applyBorder="1" applyProtection="1"/>
    <xf numFmtId="167" fontId="5" fillId="0" borderId="0" xfId="1" applyNumberFormat="1" applyFont="1" applyFill="1" applyBorder="1" applyProtection="1"/>
    <xf numFmtId="169" fontId="12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5" fontId="5" fillId="0" borderId="0" xfId="0" applyNumberFormat="1" applyFont="1" applyBorder="1" applyProtection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13" fillId="0" borderId="0" xfId="4"/>
    <xf numFmtId="0" fontId="1" fillId="0" borderId="0" xfId="4" applyFont="1"/>
    <xf numFmtId="0" fontId="5" fillId="0" borderId="0" xfId="4" applyFont="1" applyProtection="1"/>
    <xf numFmtId="0" fontId="5" fillId="0" borderId="0" xfId="4" applyFont="1"/>
    <xf numFmtId="0" fontId="7" fillId="0" borderId="0" xfId="4" applyFont="1"/>
    <xf numFmtId="0" fontId="5" fillId="0" borderId="0" xfId="4" applyFont="1" applyAlignment="1">
      <alignment horizontal="left"/>
    </xf>
    <xf numFmtId="0" fontId="1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171" fontId="5" fillId="0" borderId="0" xfId="0" applyNumberFormat="1" applyFont="1" applyBorder="1" applyProtection="1"/>
    <xf numFmtId="169" fontId="5" fillId="0" borderId="0" xfId="0" quotePrefix="1" applyNumberFormat="1" applyFont="1" applyAlignment="1">
      <alignment horizontal="right"/>
    </xf>
    <xf numFmtId="7" fontId="5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Protection="1"/>
    <xf numFmtId="9" fontId="7" fillId="0" borderId="0" xfId="5" applyFont="1" applyProtection="1"/>
    <xf numFmtId="168" fontId="7" fillId="0" borderId="0" xfId="0" applyNumberFormat="1" applyFont="1"/>
    <xf numFmtId="169" fontId="7" fillId="0" borderId="0" xfId="0" applyNumberFormat="1" applyFont="1" applyProtection="1">
      <protection locked="0"/>
    </xf>
    <xf numFmtId="168" fontId="6" fillId="0" borderId="0" xfId="1" applyNumberFormat="1" applyFont="1" applyBorder="1" applyAlignment="1" applyProtection="1">
      <alignment horizontal="right"/>
      <protection locked="0"/>
    </xf>
    <xf numFmtId="5" fontId="7" fillId="0" borderId="0" xfId="0" applyNumberFormat="1" applyFont="1" applyBorder="1" applyProtection="1"/>
    <xf numFmtId="7" fontId="1" fillId="0" borderId="0" xfId="0" applyNumberFormat="1" applyFont="1"/>
    <xf numFmtId="9" fontId="7" fillId="0" borderId="0" xfId="5" applyFont="1"/>
    <xf numFmtId="0" fontId="1" fillId="0" borderId="0" xfId="0" applyFont="1" applyBorder="1" applyProtection="1">
      <protection locked="0"/>
    </xf>
    <xf numFmtId="177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167" fontId="1" fillId="0" borderId="0" xfId="1" applyNumberFormat="1" applyFont="1" applyFill="1" applyBorder="1" applyProtection="1">
      <protection locked="0"/>
    </xf>
    <xf numFmtId="167" fontId="1" fillId="0" borderId="0" xfId="1" applyNumberFormat="1" applyFont="1" applyFill="1" applyBorder="1" applyProtection="1"/>
    <xf numFmtId="166" fontId="1" fillId="0" borderId="0" xfId="1" applyNumberFormat="1" applyFont="1" applyFill="1" applyBorder="1" applyProtection="1">
      <protection locked="0"/>
    </xf>
    <xf numFmtId="8" fontId="1" fillId="0" borderId="0" xfId="0" applyNumberFormat="1" applyFont="1"/>
    <xf numFmtId="3" fontId="1" fillId="0" borderId="0" xfId="0" applyNumberFormat="1" applyFont="1" applyBorder="1" applyProtection="1">
      <protection locked="0"/>
    </xf>
    <xf numFmtId="171" fontId="12" fillId="0" borderId="0" xfId="0" applyNumberFormat="1" applyFont="1" applyProtection="1">
      <protection locked="0"/>
    </xf>
    <xf numFmtId="171" fontId="6" fillId="0" borderId="0" xfId="1" applyNumberFormat="1" applyFont="1" applyBorder="1" applyAlignment="1" applyProtection="1">
      <alignment horizontal="right"/>
      <protection locked="0"/>
    </xf>
    <xf numFmtId="171" fontId="7" fillId="0" borderId="0" xfId="0" applyNumberFormat="1" applyFont="1" applyProtection="1">
      <protection locked="0"/>
    </xf>
    <xf numFmtId="171" fontId="0" fillId="0" borderId="0" xfId="0" applyNumberFormat="1"/>
    <xf numFmtId="175" fontId="1" fillId="0" borderId="0" xfId="0" applyNumberFormat="1" applyFont="1"/>
    <xf numFmtId="0" fontId="5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Protection="1"/>
    <xf numFmtId="168" fontId="5" fillId="0" borderId="0" xfId="0" applyNumberFormat="1" applyFont="1" applyProtection="1"/>
    <xf numFmtId="0" fontId="14" fillId="0" borderId="0" xfId="0" applyFont="1"/>
    <xf numFmtId="0" fontId="7" fillId="2" borderId="0" xfId="4" applyFont="1" applyFill="1"/>
    <xf numFmtId="0" fontId="7" fillId="2" borderId="0" xfId="0" applyFont="1" applyFill="1" applyAlignment="1">
      <alignment horizontal="center"/>
    </xf>
    <xf numFmtId="168" fontId="7" fillId="2" borderId="0" xfId="0" applyNumberFormat="1" applyFont="1" applyFill="1"/>
    <xf numFmtId="0" fontId="0" fillId="0" borderId="0" xfId="4" applyFont="1"/>
    <xf numFmtId="7" fontId="7" fillId="2" borderId="0" xfId="0" applyNumberFormat="1" applyFont="1" applyFill="1"/>
    <xf numFmtId="164" fontId="1" fillId="0" borderId="0" xfId="0" applyNumberFormat="1" applyFont="1" applyFill="1" applyBorder="1" applyProtection="1"/>
    <xf numFmtId="3" fontId="1" fillId="0" borderId="0" xfId="0" applyNumberFormat="1" applyFont="1" applyBorder="1" applyProtection="1"/>
    <xf numFmtId="178" fontId="1" fillId="0" borderId="0" xfId="0" applyNumberFormat="1" applyFont="1" applyBorder="1" applyProtection="1"/>
    <xf numFmtId="0" fontId="0" fillId="0" borderId="0" xfId="0" applyProtection="1"/>
    <xf numFmtId="1" fontId="1" fillId="0" borderId="0" xfId="0" applyNumberFormat="1" applyFont="1" applyBorder="1" applyProtection="1"/>
    <xf numFmtId="177" fontId="1" fillId="0" borderId="0" xfId="0" applyNumberFormat="1" applyFont="1" applyFill="1" applyBorder="1" applyProtection="1"/>
    <xf numFmtId="167" fontId="1" fillId="0" borderId="0" xfId="1" applyNumberFormat="1" applyFont="1" applyProtection="1"/>
    <xf numFmtId="167" fontId="1" fillId="0" borderId="0" xfId="0" applyNumberFormat="1" applyFont="1" applyProtection="1"/>
    <xf numFmtId="0" fontId="7" fillId="0" borderId="0" xfId="0" applyFont="1" applyProtection="1">
      <protection locked="0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7" fillId="2" borderId="0" xfId="4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" fillId="2" borderId="0" xfId="0" applyFont="1" applyFill="1"/>
    <xf numFmtId="5" fontId="7" fillId="2" borderId="0" xfId="0" applyNumberFormat="1" applyFont="1" applyFill="1" applyProtection="1"/>
    <xf numFmtId="8" fontId="7" fillId="2" borderId="0" xfId="0" applyNumberFormat="1" applyFont="1" applyFill="1"/>
    <xf numFmtId="0" fontId="5" fillId="0" borderId="0" xfId="4" applyFont="1" applyFill="1" applyProtection="1"/>
    <xf numFmtId="168" fontId="7" fillId="0" borderId="0" xfId="0" applyNumberFormat="1" applyFont="1" applyAlignment="1">
      <alignment horizontal="center"/>
    </xf>
    <xf numFmtId="168" fontId="7" fillId="0" borderId="0" xfId="1" applyNumberFormat="1" applyFont="1" applyBorder="1" applyAlignment="1">
      <alignment horizontal="center"/>
    </xf>
    <xf numFmtId="8" fontId="5" fillId="0" borderId="0" xfId="0" applyNumberFormat="1" applyFont="1"/>
    <xf numFmtId="0" fontId="8" fillId="2" borderId="0" xfId="0" applyFont="1" applyFill="1"/>
    <xf numFmtId="5" fontId="7" fillId="2" borderId="0" xfId="0" applyNumberFormat="1" applyFont="1" applyFill="1" applyAlignment="1">
      <alignment horizontal="right"/>
    </xf>
    <xf numFmtId="181" fontId="0" fillId="0" borderId="0" xfId="0" applyNumberFormat="1"/>
    <xf numFmtId="168" fontId="7" fillId="2" borderId="0" xfId="0" applyNumberFormat="1" applyFont="1" applyFill="1" applyProtection="1"/>
    <xf numFmtId="0" fontId="1" fillId="2" borderId="0" xfId="0" applyFont="1" applyFill="1" applyAlignment="1">
      <alignment horizontal="center"/>
    </xf>
    <xf numFmtId="179" fontId="7" fillId="2" borderId="0" xfId="0" applyNumberFormat="1" applyFont="1" applyFill="1"/>
    <xf numFmtId="0" fontId="5" fillId="2" borderId="0" xfId="0" applyFont="1" applyFill="1"/>
    <xf numFmtId="10" fontId="7" fillId="2" borderId="0" xfId="5" applyNumberFormat="1" applyFont="1" applyFill="1" applyProtection="1"/>
    <xf numFmtId="164" fontId="6" fillId="0" borderId="1" xfId="0" applyNumberFormat="1" applyFont="1" applyFill="1" applyBorder="1" applyProtection="1">
      <protection locked="0"/>
    </xf>
    <xf numFmtId="167" fontId="6" fillId="0" borderId="1" xfId="1" applyNumberFormat="1" applyFont="1" applyBorder="1" applyProtection="1">
      <protection locked="0"/>
    </xf>
    <xf numFmtId="167" fontId="3" fillId="0" borderId="1" xfId="1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14" fontId="10" fillId="0" borderId="1" xfId="0" applyNumberFormat="1" applyFont="1" applyFill="1" applyBorder="1" applyAlignment="1" applyProtection="1">
      <alignment horizontal="left"/>
      <protection locked="0"/>
    </xf>
    <xf numFmtId="3" fontId="6" fillId="0" borderId="1" xfId="0" applyNumberFormat="1" applyFont="1" applyFill="1" applyBorder="1" applyProtection="1">
      <protection locked="0"/>
    </xf>
    <xf numFmtId="2" fontId="7" fillId="0" borderId="0" xfId="0" applyNumberFormat="1" applyFont="1"/>
    <xf numFmtId="0" fontId="1" fillId="2" borderId="0" xfId="0" applyFont="1" applyFill="1" applyAlignment="1" applyProtection="1">
      <alignment horizontal="center" vertical="center"/>
      <protection locked="0"/>
    </xf>
    <xf numFmtId="170" fontId="5" fillId="2" borderId="0" xfId="0" applyNumberFormat="1" applyFont="1" applyFill="1" applyProtection="1">
      <protection locked="0"/>
    </xf>
    <xf numFmtId="7" fontId="5" fillId="2" borderId="0" xfId="0" applyNumberFormat="1" applyFont="1" applyFill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0" fillId="2" borderId="0" xfId="0" applyFill="1" applyAlignment="1">
      <alignment horizontal="center"/>
    </xf>
    <xf numFmtId="172" fontId="5" fillId="0" borderId="0" xfId="0" applyNumberFormat="1" applyFont="1"/>
    <xf numFmtId="7" fontId="7" fillId="0" borderId="0" xfId="2" applyNumberFormat="1" applyFont="1"/>
    <xf numFmtId="9" fontId="5" fillId="0" borderId="0" xfId="5" applyFont="1"/>
    <xf numFmtId="9" fontId="5" fillId="2" borderId="0" xfId="5" applyFont="1" applyFill="1"/>
    <xf numFmtId="9" fontId="7" fillId="2" borderId="0" xfId="5" applyFont="1" applyFill="1"/>
    <xf numFmtId="176" fontId="5" fillId="0" borderId="0" xfId="5" applyNumberFormat="1" applyFont="1"/>
    <xf numFmtId="0" fontId="15" fillId="0" borderId="0" xfId="0" applyFont="1"/>
    <xf numFmtId="3" fontId="7" fillId="0" borderId="0" xfId="0" applyNumberFormat="1" applyFont="1" applyBorder="1" applyProtection="1"/>
    <xf numFmtId="2" fontId="7" fillId="2" borderId="0" xfId="0" applyNumberFormat="1" applyFont="1" applyFill="1" applyProtection="1"/>
    <xf numFmtId="167" fontId="7" fillId="2" borderId="0" xfId="1" applyNumberFormat="1" applyFont="1" applyFill="1" applyBorder="1" applyProtection="1"/>
    <xf numFmtId="7" fontId="7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10" fontId="5" fillId="0" borderId="2" xfId="5" applyNumberFormat="1" applyFont="1" applyFill="1" applyBorder="1" applyProtection="1"/>
    <xf numFmtId="177" fontId="10" fillId="0" borderId="3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169" fontId="0" fillId="0" borderId="0" xfId="0" applyNumberFormat="1"/>
    <xf numFmtId="169" fontId="7" fillId="0" borderId="0" xfId="0" applyNumberFormat="1" applyFont="1"/>
    <xf numFmtId="177" fontId="5" fillId="0" borderId="4" xfId="0" applyNumberFormat="1" applyFont="1" applyBorder="1" applyAlignment="1" applyProtection="1">
      <alignment horizontal="left"/>
    </xf>
    <xf numFmtId="167" fontId="5" fillId="0" borderId="5" xfId="1" applyNumberFormat="1" applyFont="1" applyBorder="1" applyProtection="1"/>
    <xf numFmtId="0" fontId="17" fillId="0" borderId="0" xfId="0" applyFont="1"/>
    <xf numFmtId="176" fontId="7" fillId="2" borderId="0" xfId="0" applyNumberFormat="1" applyFont="1" applyFill="1"/>
    <xf numFmtId="164" fontId="5" fillId="0" borderId="2" xfId="0" applyNumberFormat="1" applyFont="1" applyFill="1" applyBorder="1" applyProtection="1"/>
    <xf numFmtId="176" fontId="1" fillId="0" borderId="0" xfId="5" applyNumberFormat="1" applyFont="1" applyBorder="1" applyProtection="1"/>
    <xf numFmtId="10" fontId="0" fillId="0" borderId="0" xfId="0" applyNumberFormat="1"/>
    <xf numFmtId="168" fontId="5" fillId="0" borderId="0" xfId="0" applyNumberFormat="1" applyFont="1"/>
    <xf numFmtId="0" fontId="5" fillId="0" borderId="0" xfId="0" applyFont="1" applyAlignment="1">
      <alignment horizontal="right"/>
    </xf>
    <xf numFmtId="9" fontId="0" fillId="0" borderId="0" xfId="5" applyFont="1"/>
    <xf numFmtId="177" fontId="1" fillId="0" borderId="0" xfId="0" applyNumberFormat="1" applyFont="1" applyBorder="1" applyProtection="1"/>
    <xf numFmtId="171" fontId="5" fillId="0" borderId="0" xfId="0" applyNumberFormat="1" applyFont="1"/>
    <xf numFmtId="5" fontId="0" fillId="0" borderId="0" xfId="0" applyNumberFormat="1"/>
    <xf numFmtId="5" fontId="7" fillId="0" borderId="0" xfId="0" applyNumberFormat="1" applyFont="1"/>
    <xf numFmtId="5" fontId="7" fillId="0" borderId="0" xfId="0" quotePrefix="1" applyNumberFormat="1" applyFont="1"/>
    <xf numFmtId="0" fontId="7" fillId="3" borderId="0" xfId="0" applyFont="1" applyFill="1"/>
    <xf numFmtId="0" fontId="7" fillId="3" borderId="0" xfId="0" applyFont="1" applyFill="1" applyAlignment="1" applyProtection="1">
      <alignment horizontal="center" vertical="center"/>
      <protection locked="0"/>
    </xf>
    <xf numFmtId="8" fontId="5" fillId="3" borderId="0" xfId="0" applyNumberFormat="1" applyFont="1" applyFill="1"/>
    <xf numFmtId="7" fontId="5" fillId="3" borderId="0" xfId="0" applyNumberFormat="1" applyFont="1" applyFill="1"/>
    <xf numFmtId="5" fontId="5" fillId="3" borderId="0" xfId="0" applyNumberFormat="1" applyFont="1" applyFill="1" applyBorder="1" applyProtection="1"/>
    <xf numFmtId="176" fontId="5" fillId="3" borderId="0" xfId="5" applyNumberFormat="1" applyFont="1" applyFill="1"/>
    <xf numFmtId="0" fontId="7" fillId="3" borderId="0" xfId="0" applyFont="1" applyFill="1" applyProtection="1">
      <protection locked="0"/>
    </xf>
    <xf numFmtId="0" fontId="0" fillId="3" borderId="0" xfId="0" applyFill="1"/>
    <xf numFmtId="7" fontId="5" fillId="3" borderId="0" xfId="0" applyNumberFormat="1" applyFont="1" applyFill="1" applyAlignment="1" applyProtection="1">
      <alignment horizontal="right"/>
      <protection locked="0"/>
    </xf>
    <xf numFmtId="5" fontId="7" fillId="3" borderId="0" xfId="0" applyNumberFormat="1" applyFont="1" applyFill="1" applyBorder="1" applyProtection="1"/>
    <xf numFmtId="0" fontId="7" fillId="3" borderId="0" xfId="0" applyFont="1" applyFill="1" applyAlignment="1">
      <alignment horizontal="center"/>
    </xf>
    <xf numFmtId="7" fontId="7" fillId="3" borderId="0" xfId="0" applyNumberFormat="1" applyFont="1" applyFill="1" applyProtection="1"/>
    <xf numFmtId="165" fontId="7" fillId="3" borderId="0" xfId="1" applyNumberFormat="1" applyFont="1" applyFill="1" applyBorder="1" applyProtection="1"/>
    <xf numFmtId="166" fontId="7" fillId="3" borderId="0" xfId="0" applyNumberFormat="1" applyFont="1" applyFill="1" applyProtection="1"/>
    <xf numFmtId="8" fontId="7" fillId="3" borderId="0" xfId="0" applyNumberFormat="1" applyFont="1" applyFill="1"/>
    <xf numFmtId="5" fontId="7" fillId="3" borderId="0" xfId="0" applyNumberFormat="1" applyFont="1" applyFill="1" applyProtection="1"/>
    <xf numFmtId="9" fontId="7" fillId="3" borderId="0" xfId="5" applyFont="1" applyFill="1"/>
    <xf numFmtId="3" fontId="1" fillId="0" borderId="0" xfId="0" applyNumberFormat="1" applyFont="1" applyBorder="1" applyAlignment="1" applyProtection="1">
      <alignment horizontal="left"/>
    </xf>
    <xf numFmtId="0" fontId="19" fillId="0" borderId="0" xfId="0" applyFont="1"/>
    <xf numFmtId="0" fontId="20" fillId="0" borderId="1" xfId="0" applyFont="1" applyBorder="1" applyProtection="1">
      <protection locked="0"/>
    </xf>
    <xf numFmtId="1" fontId="20" fillId="0" borderId="1" xfId="1" applyNumberFormat="1" applyFont="1" applyBorder="1" applyAlignment="1" applyProtection="1">
      <alignment horizontal="left"/>
      <protection locked="0"/>
    </xf>
    <xf numFmtId="0" fontId="7" fillId="0" borderId="6" xfId="4" applyFont="1" applyFill="1" applyBorder="1"/>
    <xf numFmtId="0" fontId="15" fillId="0" borderId="7" xfId="4" applyFont="1" applyBorder="1" applyProtection="1"/>
    <xf numFmtId="0" fontId="15" fillId="0" borderId="2" xfId="4" applyFont="1" applyBorder="1" applyProtection="1"/>
    <xf numFmtId="0" fontId="15" fillId="0" borderId="7" xfId="4" applyFont="1" applyBorder="1"/>
    <xf numFmtId="0" fontId="8" fillId="0" borderId="6" xfId="4" applyFont="1" applyFill="1" applyBorder="1"/>
    <xf numFmtId="0" fontId="0" fillId="0" borderId="8" xfId="0" applyBorder="1"/>
    <xf numFmtId="6" fontId="7" fillId="0" borderId="0" xfId="4" applyNumberFormat="1" applyFont="1" applyBorder="1" applyAlignment="1" applyProtection="1">
      <alignment horizontal="right"/>
    </xf>
    <xf numFmtId="0" fontId="15" fillId="0" borderId="0" xfId="4" applyFont="1" applyBorder="1" applyAlignment="1">
      <alignment horizontal="left"/>
    </xf>
    <xf numFmtId="0" fontId="14" fillId="0" borderId="8" xfId="4" applyFont="1" applyBorder="1"/>
    <xf numFmtId="167" fontId="3" fillId="0" borderId="1" xfId="1" applyNumberFormat="1" applyFont="1" applyBorder="1" applyProtection="1">
      <protection locked="0"/>
    </xf>
    <xf numFmtId="0" fontId="15" fillId="0" borderId="8" xfId="4" applyFont="1" applyBorder="1" applyProtection="1"/>
    <xf numFmtId="180" fontId="5" fillId="0" borderId="0" xfId="4" applyNumberFormat="1" applyFont="1" applyBorder="1" applyProtection="1"/>
    <xf numFmtId="0" fontId="15" fillId="0" borderId="0" xfId="0" applyFont="1" applyBorder="1"/>
    <xf numFmtId="0" fontId="15" fillId="0" borderId="8" xfId="4" applyFont="1" applyBorder="1" applyAlignment="1" applyProtection="1">
      <alignment horizontal="left"/>
    </xf>
    <xf numFmtId="0" fontId="15" fillId="0" borderId="0" xfId="4" applyFont="1" applyBorder="1" applyAlignment="1" applyProtection="1">
      <alignment horizontal="left"/>
    </xf>
    <xf numFmtId="167" fontId="5" fillId="0" borderId="9" xfId="1" applyNumberFormat="1" applyFont="1" applyBorder="1" applyProtection="1"/>
    <xf numFmtId="0" fontId="14" fillId="0" borderId="8" xfId="4" applyFont="1" applyBorder="1" applyProtection="1"/>
    <xf numFmtId="0" fontId="15" fillId="0" borderId="0" xfId="4" applyFont="1" applyBorder="1" applyProtection="1"/>
    <xf numFmtId="171" fontId="21" fillId="0" borderId="10" xfId="0" applyNumberFormat="1" applyFont="1" applyBorder="1"/>
    <xf numFmtId="0" fontId="5" fillId="0" borderId="5" xfId="0" applyFont="1" applyBorder="1"/>
    <xf numFmtId="8" fontId="7" fillId="0" borderId="10" xfId="4" applyNumberFormat="1" applyFont="1" applyBorder="1" applyProtection="1"/>
    <xf numFmtId="0" fontId="15" fillId="0" borderId="11" xfId="4" applyFont="1" applyBorder="1" applyAlignment="1">
      <alignment horizontal="left"/>
    </xf>
    <xf numFmtId="0" fontId="0" fillId="0" borderId="11" xfId="0" applyBorder="1"/>
    <xf numFmtId="1" fontId="5" fillId="0" borderId="0" xfId="4" applyNumberFormat="1" applyFont="1" applyBorder="1" applyProtection="1"/>
    <xf numFmtId="167" fontId="6" fillId="0" borderId="12" xfId="1" applyNumberFormat="1" applyFont="1" applyBorder="1" applyProtection="1">
      <protection locked="0"/>
    </xf>
    <xf numFmtId="176" fontId="5" fillId="0" borderId="0" xfId="5" applyNumberFormat="1" applyFont="1" applyProtection="1"/>
    <xf numFmtId="0" fontId="22" fillId="0" borderId="0" xfId="0" applyFont="1"/>
    <xf numFmtId="2" fontId="23" fillId="0" borderId="12" xfId="5" applyNumberFormat="1" applyFont="1" applyBorder="1" applyProtection="1">
      <protection locked="0"/>
    </xf>
    <xf numFmtId="0" fontId="9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/>
    <xf numFmtId="0" fontId="5" fillId="0" borderId="0" xfId="3" applyFont="1" applyAlignment="1">
      <alignment horizontal="center"/>
    </xf>
    <xf numFmtId="2" fontId="5" fillId="0" borderId="0" xfId="5" applyNumberFormat="1" applyFont="1" applyBorder="1" applyProtection="1"/>
    <xf numFmtId="169" fontId="10" fillId="0" borderId="1" xfId="0" applyNumberFormat="1" applyFont="1" applyBorder="1" applyProtection="1">
      <protection locked="0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179" fontId="7" fillId="0" borderId="0" xfId="0" applyNumberFormat="1" applyFont="1" applyFill="1"/>
    <xf numFmtId="10" fontId="7" fillId="0" borderId="0" xfId="5" applyNumberFormat="1" applyFont="1" applyFill="1" applyProtection="1"/>
    <xf numFmtId="164" fontId="5" fillId="0" borderId="0" xfId="0" applyNumberFormat="1" applyFont="1" applyFill="1" applyProtection="1"/>
    <xf numFmtId="169" fontId="5" fillId="0" borderId="0" xfId="0" applyNumberFormat="1" applyFont="1" applyProtection="1">
      <protection locked="0"/>
    </xf>
    <xf numFmtId="169" fontId="7" fillId="0" borderId="0" xfId="0" applyNumberFormat="1" applyFont="1" applyProtection="1"/>
    <xf numFmtId="1" fontId="5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7" fillId="3" borderId="0" xfId="4" applyFont="1" applyFill="1"/>
    <xf numFmtId="0" fontId="1" fillId="0" borderId="0" xfId="0" applyFont="1" applyProtection="1">
      <protection locked="0"/>
    </xf>
    <xf numFmtId="167" fontId="24" fillId="0" borderId="1" xfId="1" applyNumberFormat="1" applyFont="1" applyBorder="1" applyAlignment="1" applyProtection="1">
      <alignment horizontal="right"/>
      <protection locked="0"/>
    </xf>
    <xf numFmtId="0" fontId="24" fillId="0" borderId="0" xfId="0" applyFont="1" applyProtection="1">
      <protection locked="0"/>
    </xf>
    <xf numFmtId="182" fontId="3" fillId="0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3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left"/>
      <protection locked="0"/>
    </xf>
    <xf numFmtId="0" fontId="0" fillId="0" borderId="14" xfId="0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Alignment="1"/>
    <xf numFmtId="0" fontId="1" fillId="0" borderId="0" xfId="0" applyFont="1" applyBorder="1" applyAlignment="1" applyProtection="1"/>
    <xf numFmtId="0" fontId="0" fillId="0" borderId="0" xfId="0" applyAlignment="1" applyProtection="1"/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Fill="1" applyBorder="1" applyAlignment="1" applyProtection="1"/>
  </cellXfs>
  <cellStyles count="6">
    <cellStyle name="Comma" xfId="1" builtinId="3"/>
    <cellStyle name="Currency" xfId="2" builtinId="4"/>
    <cellStyle name="Normal" xfId="0" builtinId="0"/>
    <cellStyle name="Normal_3. Closeout Summary" xfId="3" xr:uid="{00000000-0005-0000-0000-000003000000}"/>
    <cellStyle name="Normal_Sheet1" xfId="4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2006B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Revenue, Stocker Cost, Cost of Gain and Net Margin - $/Hd. Out</a:t>
            </a:r>
          </a:p>
        </c:rich>
      </c:tx>
      <c:layout>
        <c:manualLayout>
          <c:xMode val="edge"/>
          <c:yMode val="edge"/>
          <c:x val="0.224"/>
          <c:y val="3.3132390709225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8571428571428"/>
          <c:y val="0.20783132530120482"/>
          <c:w val="0.85371428571428576"/>
          <c:h val="0.5993975903614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StockerCloseOut'!$I$91</c:f>
              <c:strCache>
                <c:ptCount val="1"/>
                <c:pt idx="0">
                  <c:v>$/Head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'2. StockerCloseOut'!$J$90:$M$90</c:f>
              <c:strCache>
                <c:ptCount val="4"/>
                <c:pt idx="0">
                  <c:v>Revenue</c:v>
                </c:pt>
                <c:pt idx="1">
                  <c:v>Feeder Cost</c:v>
                </c:pt>
                <c:pt idx="2">
                  <c:v>Cost of Gain</c:v>
                </c:pt>
                <c:pt idx="3">
                  <c:v>Net Margin</c:v>
                </c:pt>
              </c:strCache>
            </c:strRef>
          </c:cat>
          <c:val>
            <c:numRef>
              <c:f>'2. StockerCloseOut'!$J$91:$M$91</c:f>
              <c:numCache>
                <c:formatCode>"$"#,##0_);\("$"#,##0\)</c:formatCode>
                <c:ptCount val="4"/>
                <c:pt idx="0">
                  <c:v>1171.7171717171718</c:v>
                </c:pt>
                <c:pt idx="1">
                  <c:v>818.18181818181813</c:v>
                </c:pt>
                <c:pt idx="2">
                  <c:v>325.91919191919192</c:v>
                </c:pt>
                <c:pt idx="3">
                  <c:v>27.616161616161691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8-4302-8CA0-1BA38A1D0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389664"/>
        <c:axId val="248969320"/>
      </c:barChart>
      <c:catAx>
        <c:axId val="24938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8969320"/>
        <c:crosses val="autoZero"/>
        <c:auto val="1"/>
        <c:lblAlgn val="ctr"/>
        <c:lblOffset val="100"/>
        <c:tickMarkSkip val="1"/>
        <c:noMultiLvlLbl val="0"/>
      </c:catAx>
      <c:valAx>
        <c:axId val="248969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$/Head</a:t>
                </a:r>
              </a:p>
            </c:rich>
          </c:tx>
          <c:layout>
            <c:manualLayout>
              <c:xMode val="edge"/>
              <c:yMode val="edge"/>
              <c:x val="1.8285714285714287E-2"/>
              <c:y val="0.427710890977337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9389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 and Finance Cost and Margin $/Head</a:t>
            </a:r>
          </a:p>
        </c:rich>
      </c:tx>
      <c:layout>
        <c:manualLayout>
          <c:xMode val="edge"/>
          <c:yMode val="edge"/>
          <c:x val="0.23576312261981908"/>
          <c:y val="3.305784047465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79271070615035"/>
          <c:y val="0.31405043165254726"/>
          <c:w val="0.21184510250569477"/>
          <c:h val="0.51239807269626136"/>
        </c:manualLayout>
      </c:layout>
      <c:pieChart>
        <c:varyColors val="1"/>
        <c:ser>
          <c:idx val="0"/>
          <c:order val="0"/>
          <c:tx>
            <c:strRef>
              <c:f>'2. StockerCloseOut'!$I$97</c:f>
              <c:strCache>
                <c:ptCount val="1"/>
                <c:pt idx="0">
                  <c:v>$/Head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F4-47E3-B720-35DF4D7046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F4-47E3-B720-35DF4D7046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CF4-47E3-B720-35DF4D7046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F4-47E3-B720-35DF4D70468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 StockerCloseOut'!$J$96:$M$96</c:f>
              <c:strCache>
                <c:ptCount val="4"/>
                <c:pt idx="0">
                  <c:v>Cost of Stocker</c:v>
                </c:pt>
                <c:pt idx="1">
                  <c:v>Cost of Gain Including G&amp;A</c:v>
                </c:pt>
                <c:pt idx="2">
                  <c:v>Finance Cost</c:v>
                </c:pt>
                <c:pt idx="3">
                  <c:v>Net Margin</c:v>
                </c:pt>
              </c:strCache>
            </c:strRef>
          </c:cat>
          <c:val>
            <c:numRef>
              <c:f>'2. StockerCloseOut'!$J$97:$M$97</c:f>
              <c:numCache>
                <c:formatCode>"$"#,##0_);\("$"#,##0\)</c:formatCode>
                <c:ptCount val="4"/>
                <c:pt idx="0">
                  <c:v>818.18181818181813</c:v>
                </c:pt>
                <c:pt idx="1">
                  <c:v>1117.3434343434344</c:v>
                </c:pt>
                <c:pt idx="2">
                  <c:v>26.757575757575758</c:v>
                </c:pt>
                <c:pt idx="3">
                  <c:v>27.616161616161616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F4-47E3-B720-35DF4D7046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06292289519671"/>
          <c:y val="0.44800087500170899"/>
          <c:w val="0.25468764573343988"/>
          <c:h val="0.25760050312598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Closeout Margin Summary $/Hd.Out</a:t>
            </a:r>
          </a:p>
        </c:rich>
      </c:tx>
      <c:layout>
        <c:manualLayout>
          <c:xMode val="edge"/>
          <c:yMode val="edge"/>
          <c:x val="0.28449746281714788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1482112436116"/>
          <c:y val="0.21122180287555073"/>
          <c:w val="0.82623509369676318"/>
          <c:h val="0.59076097991755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StockerLotSummary'!$F$57</c:f>
              <c:strCache>
                <c:ptCount val="1"/>
                <c:pt idx="0">
                  <c:v>$/Hd.Out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 StockerLotSummary'!$G$56:$I$56</c:f>
              <c:strCache>
                <c:ptCount val="3"/>
                <c:pt idx="0">
                  <c:v>Marketing Margin</c:v>
                </c:pt>
                <c:pt idx="1">
                  <c:v>Grazing Margin</c:v>
                </c:pt>
                <c:pt idx="2">
                  <c:v> Net Margin or Income</c:v>
                </c:pt>
              </c:strCache>
            </c:strRef>
          </c:cat>
          <c:val>
            <c:numRef>
              <c:f>'3. StockerLotSummary'!$G$57:$I$57</c:f>
              <c:numCache>
                <c:formatCode>"$"#,##0.00_);\("$"#,##0.00\)</c:formatCode>
                <c:ptCount val="3"/>
                <c:pt idx="0">
                  <c:v>-152.43342516069782</c:v>
                </c:pt>
                <c:pt idx="1">
                  <c:v>180.04958677685951</c:v>
                </c:pt>
                <c:pt idx="2" formatCode="[$$-409]#,##0.00_);[Red]\([$$-409]#,##0.00\)">
                  <c:v>27.616161616161691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C-4936-B15C-0BB18B139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69264"/>
        <c:axId val="209465736"/>
      </c:barChart>
      <c:catAx>
        <c:axId val="20946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465736"/>
        <c:crosses val="autoZero"/>
        <c:auto val="1"/>
        <c:lblAlgn val="ctr"/>
        <c:lblOffset val="100"/>
        <c:tickMarkSkip val="1"/>
        <c:noMultiLvlLbl val="0"/>
      </c:catAx>
      <c:valAx>
        <c:axId val="209465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469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48986</xdr:colOff>
      <xdr:row>1</xdr:row>
      <xdr:rowOff>97972</xdr:rowOff>
    </xdr:from>
    <xdr:to>
      <xdr:col>6</xdr:col>
      <xdr:colOff>685801</xdr:colOff>
      <xdr:row>3</xdr:row>
      <xdr:rowOff>177800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8086" y="321129"/>
          <a:ext cx="1621972" cy="471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87</xdr:row>
      <xdr:rowOff>31750</xdr:rowOff>
    </xdr:from>
    <xdr:to>
      <xdr:col>6</xdr:col>
      <xdr:colOff>457200</xdr:colOff>
      <xdr:row>105</xdr:row>
      <xdr:rowOff>127000</xdr:rowOff>
    </xdr:to>
    <xdr:graphicFrame macro="">
      <xdr:nvGraphicFramePr>
        <xdr:cNvPr id="6269" name="Chart 1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44450</xdr:colOff>
      <xdr:row>108</xdr:row>
      <xdr:rowOff>38100</xdr:rowOff>
    </xdr:from>
    <xdr:to>
      <xdr:col>6</xdr:col>
      <xdr:colOff>520700</xdr:colOff>
      <xdr:row>128</xdr:row>
      <xdr:rowOff>69850</xdr:rowOff>
    </xdr:to>
    <xdr:graphicFrame macro="">
      <xdr:nvGraphicFramePr>
        <xdr:cNvPr id="6270" name="Chart 2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51</xdr:row>
      <xdr:rowOff>146050</xdr:rowOff>
    </xdr:from>
    <xdr:to>
      <xdr:col>4</xdr:col>
      <xdr:colOff>787400</xdr:colOff>
      <xdr:row>66</xdr:row>
      <xdr:rowOff>177800</xdr:rowOff>
    </xdr:to>
    <xdr:graphicFrame macro="">
      <xdr:nvGraphicFramePr>
        <xdr:cNvPr id="1092" name="Chart 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9"/>
  <sheetViews>
    <sheetView tabSelected="1" topLeftCell="A5" workbookViewId="0">
      <selection activeCell="C6" sqref="C6"/>
    </sheetView>
  </sheetViews>
  <sheetFormatPr defaultRowHeight="15"/>
  <cols>
    <col min="1" max="1" width="4.4375" customWidth="1"/>
    <col min="2" max="2" width="41" customWidth="1"/>
    <col min="3" max="3" width="13.3125" customWidth="1"/>
    <col min="4" max="4" width="10.875" customWidth="1"/>
    <col min="5" max="5" width="22.6875" customWidth="1"/>
    <col min="6" max="6" width="11.3125" customWidth="1"/>
    <col min="7" max="7" width="16" customWidth="1"/>
    <col min="9" max="9" width="10.75" customWidth="1"/>
  </cols>
  <sheetData>
    <row r="1" spans="2:10" ht="17.600000000000001">
      <c r="B1" s="239" t="s">
        <v>199</v>
      </c>
      <c r="C1" s="240"/>
      <c r="D1" s="55"/>
    </row>
    <row r="2" spans="2:10" ht="15.45">
      <c r="B2" s="14"/>
      <c r="C2" s="55"/>
      <c r="D2" s="55"/>
    </row>
    <row r="3" spans="2:10" ht="15.45">
      <c r="C3" s="14" t="s">
        <v>88</v>
      </c>
    </row>
    <row r="4" spans="2:10">
      <c r="B4" s="5" t="s">
        <v>17</v>
      </c>
      <c r="C4" s="188">
        <v>1</v>
      </c>
      <c r="F4" s="156"/>
    </row>
    <row r="5" spans="2:10">
      <c r="B5" s="5" t="s">
        <v>141</v>
      </c>
      <c r="C5" s="189">
        <v>100</v>
      </c>
      <c r="F5" s="156" t="s">
        <v>142</v>
      </c>
    </row>
    <row r="6" spans="2:10">
      <c r="B6" s="2" t="s">
        <v>89</v>
      </c>
      <c r="C6" s="150">
        <v>43739</v>
      </c>
    </row>
    <row r="7" spans="2:10">
      <c r="B7" s="2"/>
      <c r="C7" s="36"/>
    </row>
    <row r="8" spans="2:10" ht="15.45">
      <c r="B8" s="13" t="s">
        <v>90</v>
      </c>
      <c r="C8" s="36"/>
      <c r="E8" s="187"/>
    </row>
    <row r="9" spans="2:10" ht="15.45">
      <c r="B9" s="5" t="s">
        <v>97</v>
      </c>
      <c r="C9" s="83">
        <f>100*800*1.45</f>
        <v>116000</v>
      </c>
    </row>
    <row r="10" spans="2:10" ht="15.45">
      <c r="B10" s="135" t="s">
        <v>175</v>
      </c>
      <c r="C10" s="84">
        <v>0</v>
      </c>
      <c r="D10" s="152">
        <f>IF(C5=0,0,(C9+C10)/'2. StockerCloseOut'!E20*100)</f>
        <v>146.46464646464648</v>
      </c>
      <c r="E10" t="s">
        <v>2</v>
      </c>
      <c r="F10" s="190" t="s">
        <v>178</v>
      </c>
      <c r="G10" s="191"/>
      <c r="H10" s="192"/>
      <c r="I10" s="192"/>
      <c r="J10" s="193"/>
    </row>
    <row r="11" spans="2:10" ht="15.45">
      <c r="C11" s="51"/>
      <c r="F11" s="194" t="s">
        <v>179</v>
      </c>
      <c r="G11" s="195"/>
      <c r="H11" s="196">
        <f>F12*F13</f>
        <v>1125</v>
      </c>
      <c r="I11" s="197" t="s">
        <v>180</v>
      </c>
      <c r="J11" s="198"/>
    </row>
    <row r="12" spans="2:10" ht="15.45">
      <c r="B12" s="13" t="s">
        <v>54</v>
      </c>
      <c r="C12" s="32"/>
      <c r="F12" s="199">
        <v>300</v>
      </c>
      <c r="G12" s="200" t="s">
        <v>181</v>
      </c>
      <c r="H12" s="201">
        <f>IF(D1=0,0,(H11/(F14*H14)))</f>
        <v>0</v>
      </c>
      <c r="I12" s="202" t="s">
        <v>2</v>
      </c>
      <c r="J12" s="195"/>
    </row>
    <row r="13" spans="2:10">
      <c r="B13" s="5" t="s">
        <v>117</v>
      </c>
      <c r="C13" s="71">
        <f>100*450*1.8</f>
        <v>81000</v>
      </c>
      <c r="F13" s="223">
        <v>3.75</v>
      </c>
      <c r="G13" s="203" t="s">
        <v>182</v>
      </c>
      <c r="H13" s="236">
        <v>49000</v>
      </c>
      <c r="I13" s="204" t="s">
        <v>183</v>
      </c>
      <c r="J13" s="195"/>
    </row>
    <row r="14" spans="2:10">
      <c r="B14" s="2" t="s">
        <v>21</v>
      </c>
      <c r="C14" s="71">
        <v>0</v>
      </c>
      <c r="F14" s="205">
        <f>'2. StockerCloseOut'!D10</f>
        <v>450</v>
      </c>
      <c r="G14" s="206" t="s">
        <v>184</v>
      </c>
      <c r="H14" s="213">
        <f>IF(C5=0,0,H13/F14)</f>
        <v>108.88888888888889</v>
      </c>
      <c r="I14" s="207" t="s">
        <v>185</v>
      </c>
      <c r="J14" s="200"/>
    </row>
    <row r="15" spans="2:10" ht="15.45">
      <c r="B15" s="5" t="s">
        <v>188</v>
      </c>
      <c r="C15" s="71">
        <v>0</v>
      </c>
      <c r="F15" s="208">
        <f>H15*C5</f>
        <v>1033.1632653061226</v>
      </c>
      <c r="G15" s="209" t="s">
        <v>186</v>
      </c>
      <c r="H15" s="210">
        <f>IF(C5=0,0,H11/H14)</f>
        <v>10.331632653061225</v>
      </c>
      <c r="I15" s="211" t="s">
        <v>187</v>
      </c>
      <c r="J15" s="212"/>
    </row>
    <row r="16" spans="2:10">
      <c r="B16" s="5" t="s">
        <v>135</v>
      </c>
      <c r="C16" s="229">
        <v>0</v>
      </c>
    </row>
    <row r="17" spans="2:5" ht="15.45">
      <c r="B17" s="13" t="s">
        <v>197</v>
      </c>
      <c r="C17" s="230">
        <f>SUM(C13:C16)</f>
        <v>81000</v>
      </c>
      <c r="D17" s="152">
        <f>IF(C5=0,0,SUM(C13:C16)/'2. StockerCloseOut'!E9*100)</f>
        <v>180</v>
      </c>
      <c r="E17" t="s">
        <v>2</v>
      </c>
    </row>
    <row r="18" spans="2:5">
      <c r="B18" s="5" t="s">
        <v>67</v>
      </c>
      <c r="C18" s="35">
        <v>0</v>
      </c>
    </row>
    <row r="19" spans="2:5">
      <c r="B19" s="5" t="s">
        <v>118</v>
      </c>
      <c r="C19" s="35">
        <v>0</v>
      </c>
    </row>
    <row r="20" spans="2:5">
      <c r="B20" s="5" t="s">
        <v>68</v>
      </c>
      <c r="C20" s="35">
        <v>0</v>
      </c>
    </row>
    <row r="21" spans="2:5">
      <c r="B21" s="5" t="s">
        <v>119</v>
      </c>
      <c r="C21" s="35">
        <v>0</v>
      </c>
    </row>
    <row r="22" spans="2:5">
      <c r="B22" s="5" t="s">
        <v>137</v>
      </c>
      <c r="C22" s="35">
        <v>18000</v>
      </c>
    </row>
    <row r="23" spans="2:5">
      <c r="B23" s="5" t="s">
        <v>69</v>
      </c>
      <c r="C23" s="35">
        <v>0</v>
      </c>
    </row>
    <row r="24" spans="2:5" ht="15.45">
      <c r="B24" s="13" t="s">
        <v>113</v>
      </c>
      <c r="C24" s="70">
        <f>SUM(C18:C23)</f>
        <v>18000</v>
      </c>
      <c r="D24" s="86">
        <f>C24</f>
        <v>18000</v>
      </c>
      <c r="E24" t="s">
        <v>134</v>
      </c>
    </row>
    <row r="25" spans="2:5">
      <c r="B25" t="s">
        <v>65</v>
      </c>
      <c r="C25" s="35">
        <v>0</v>
      </c>
      <c r="D25" s="86"/>
    </row>
    <row r="26" spans="2:5">
      <c r="B26" t="s">
        <v>43</v>
      </c>
      <c r="C26" s="35">
        <v>0</v>
      </c>
      <c r="D26" s="86"/>
    </row>
    <row r="27" spans="2:5">
      <c r="B27" s="5" t="s">
        <v>116</v>
      </c>
      <c r="C27" s="35">
        <v>1677</v>
      </c>
      <c r="D27" s="86"/>
    </row>
    <row r="28" spans="2:5">
      <c r="B28" s="5" t="s">
        <v>115</v>
      </c>
      <c r="C28" s="35">
        <v>0</v>
      </c>
      <c r="D28" s="86"/>
    </row>
    <row r="29" spans="2:5">
      <c r="B29" s="5" t="s">
        <v>121</v>
      </c>
      <c r="C29" s="35">
        <v>0</v>
      </c>
      <c r="D29" s="86"/>
    </row>
    <row r="30" spans="2:5">
      <c r="B30" s="237" t="s">
        <v>177</v>
      </c>
      <c r="C30" s="35">
        <v>7740</v>
      </c>
      <c r="D30" s="86"/>
    </row>
    <row r="31" spans="2:5">
      <c r="B31" s="237" t="s">
        <v>120</v>
      </c>
      <c r="C31" s="35">
        <v>0</v>
      </c>
      <c r="D31" s="86"/>
    </row>
    <row r="32" spans="2:5">
      <c r="B32" s="237" t="s">
        <v>120</v>
      </c>
      <c r="C32" s="35">
        <v>0</v>
      </c>
      <c r="D32" s="86"/>
    </row>
    <row r="33" spans="2:7">
      <c r="B33" t="s">
        <v>91</v>
      </c>
      <c r="C33" s="35">
        <v>0</v>
      </c>
      <c r="D33" s="86"/>
    </row>
    <row r="34" spans="2:7">
      <c r="B34" t="s">
        <v>138</v>
      </c>
      <c r="C34" s="35">
        <v>0</v>
      </c>
      <c r="D34" s="86"/>
    </row>
    <row r="35" spans="2:7">
      <c r="B35" s="58" t="s">
        <v>66</v>
      </c>
      <c r="C35" s="35">
        <v>0</v>
      </c>
      <c r="D35" s="86"/>
    </row>
    <row r="36" spans="2:7">
      <c r="B36" s="2" t="s">
        <v>200</v>
      </c>
      <c r="C36" s="35">
        <v>1200</v>
      </c>
      <c r="D36" s="86"/>
    </row>
    <row r="37" spans="2:7">
      <c r="B37" s="5" t="s">
        <v>99</v>
      </c>
      <c r="C37" s="35">
        <v>1000</v>
      </c>
      <c r="D37" s="86"/>
      <c r="G37" s="161"/>
    </row>
    <row r="38" spans="2:7">
      <c r="B38" s="2" t="s">
        <v>23</v>
      </c>
      <c r="C38" s="35">
        <v>2649</v>
      </c>
      <c r="D38" s="86"/>
      <c r="E38" s="5" t="s">
        <v>156</v>
      </c>
    </row>
    <row r="39" spans="2:7" ht="15.45">
      <c r="B39" s="13" t="s">
        <v>150</v>
      </c>
      <c r="C39" s="153">
        <f>SUM(C25:C38)</f>
        <v>14266</v>
      </c>
      <c r="D39" s="86">
        <f>C39</f>
        <v>14266</v>
      </c>
      <c r="E39" s="5" t="s">
        <v>157</v>
      </c>
    </row>
    <row r="40" spans="2:7">
      <c r="C40" s="86"/>
      <c r="D40" s="86"/>
    </row>
    <row r="41" spans="2:7" ht="15.45">
      <c r="B41" s="13" t="s">
        <v>139</v>
      </c>
      <c r="C41" s="153">
        <f>C17+C24+C39</f>
        <v>113266</v>
      </c>
      <c r="D41" s="86"/>
      <c r="F41" s="152"/>
    </row>
    <row r="42" spans="2:7">
      <c r="C42" s="86"/>
      <c r="D42" s="86"/>
      <c r="E42" s="5" t="s">
        <v>151</v>
      </c>
    </row>
    <row r="43" spans="2:7" ht="15.45">
      <c r="B43" s="13"/>
      <c r="C43" s="85"/>
      <c r="D43" s="165">
        <f>IF(C5=0,0,'2. StockerCloseOut'!I54)</f>
        <v>43573.180821917813</v>
      </c>
      <c r="E43" s="5" t="s">
        <v>152</v>
      </c>
    </row>
    <row r="44" spans="2:7">
      <c r="D44" s="160">
        <f>IF(D43=0,0,C38/D43)</f>
        <v>6.079427643408402E-2</v>
      </c>
      <c r="E44" t="s">
        <v>153</v>
      </c>
    </row>
    <row r="45" spans="2:7">
      <c r="B45" s="5" t="s">
        <v>146</v>
      </c>
      <c r="D45" s="160"/>
    </row>
    <row r="46" spans="2:7">
      <c r="B46" s="143" t="s">
        <v>148</v>
      </c>
      <c r="D46" s="160"/>
    </row>
    <row r="47" spans="2:7">
      <c r="B47" s="143" t="s">
        <v>155</v>
      </c>
    </row>
    <row r="48" spans="2:7">
      <c r="B48" s="143"/>
    </row>
    <row r="49" spans="2:2">
      <c r="B49" s="91" t="s">
        <v>136</v>
      </c>
    </row>
  </sheetData>
  <sheetProtection sheet="1" objects="1" scenarios="1"/>
  <mergeCells count="1">
    <mergeCell ref="B1:C1"/>
  </mergeCells>
  <phoneticPr fontId="11" type="noConversion"/>
  <pageMargins left="1" right="0.5" top="1" bottom="1" header="0.5" footer="0.5"/>
  <pageSetup scale="85" orientation="portrait" r:id="rId1"/>
  <headerFooter alignWithMargins="0"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97"/>
  <sheetViews>
    <sheetView topLeftCell="A95" zoomScaleNormal="100" workbookViewId="0">
      <selection activeCell="C20" sqref="C20"/>
    </sheetView>
  </sheetViews>
  <sheetFormatPr defaultRowHeight="15"/>
  <cols>
    <col min="1" max="1" width="4.3125" customWidth="1"/>
    <col min="2" max="2" width="40.5625" customWidth="1"/>
    <col min="3" max="3" width="15.6875" customWidth="1"/>
    <col min="4" max="4" width="15.0625" customWidth="1"/>
    <col min="5" max="5" width="10.0625" bestFit="1" customWidth="1"/>
    <col min="6" max="6" width="11.3125" customWidth="1"/>
    <col min="7" max="7" width="8.0625" customWidth="1"/>
    <col min="8" max="8" width="10.6875" bestFit="1" customWidth="1"/>
    <col min="9" max="9" width="15.3125" customWidth="1"/>
    <col min="11" max="11" width="13.3125" customWidth="1"/>
    <col min="12" max="12" width="14.875" customWidth="1"/>
  </cols>
  <sheetData>
    <row r="1" spans="2:8" ht="17.600000000000001">
      <c r="B1" s="239" t="s">
        <v>174</v>
      </c>
      <c r="C1" s="239"/>
      <c r="D1" s="239"/>
      <c r="E1" s="239"/>
      <c r="F1" s="243"/>
      <c r="G1" s="243"/>
      <c r="H1" s="63"/>
    </row>
    <row r="2" spans="2:8" ht="17.600000000000001">
      <c r="B2" s="13" t="s">
        <v>112</v>
      </c>
      <c r="C2" s="13"/>
      <c r="F2" s="63"/>
      <c r="G2" s="63"/>
      <c r="H2" s="63"/>
    </row>
    <row r="3" spans="2:8" ht="17.600000000000001">
      <c r="B3" s="2" t="s">
        <v>0</v>
      </c>
      <c r="C3" s="3">
        <f ca="1">TODAY()</f>
        <v>44035</v>
      </c>
      <c r="F3" s="63"/>
      <c r="G3" s="63"/>
      <c r="H3" s="63"/>
    </row>
    <row r="4" spans="2:8" ht="17.600000000000001">
      <c r="B4" t="s">
        <v>17</v>
      </c>
      <c r="C4" s="155">
        <f>'1. Stocker Financial Data '!C4</f>
        <v>1</v>
      </c>
      <c r="D4" s="2" t="s">
        <v>18</v>
      </c>
      <c r="E4" s="151" t="s">
        <v>170</v>
      </c>
      <c r="F4" s="63"/>
      <c r="G4" s="63"/>
      <c r="H4" s="63"/>
    </row>
    <row r="5" spans="2:8" ht="17.600000000000001">
      <c r="B5" s="2" t="s">
        <v>19</v>
      </c>
      <c r="C5" s="151" t="s">
        <v>171</v>
      </c>
      <c r="D5" s="5" t="s">
        <v>131</v>
      </c>
      <c r="E5" s="125">
        <v>100</v>
      </c>
      <c r="F5" s="63"/>
      <c r="G5" s="63"/>
      <c r="H5" s="63"/>
    </row>
    <row r="6" spans="2:8" ht="17.600000000000001">
      <c r="B6" s="2" t="s">
        <v>49</v>
      </c>
      <c r="C6" s="241" t="s">
        <v>172</v>
      </c>
      <c r="D6" s="242"/>
      <c r="F6" s="63"/>
      <c r="G6" s="63"/>
      <c r="H6" s="63"/>
    </row>
    <row r="7" spans="2:8" ht="17.600000000000001">
      <c r="B7" t="s">
        <v>132</v>
      </c>
      <c r="C7" s="154">
        <f>'1. Stocker Financial Data '!C6</f>
        <v>43739</v>
      </c>
      <c r="D7" s="2" t="s">
        <v>20</v>
      </c>
      <c r="E7" s="151" t="s">
        <v>173</v>
      </c>
      <c r="F7" s="63"/>
      <c r="G7" s="63"/>
      <c r="H7" s="63"/>
    </row>
    <row r="8" spans="2:8" ht="17.600000000000001">
      <c r="B8" s="95" t="s">
        <v>106</v>
      </c>
      <c r="C8" s="241" t="s">
        <v>176</v>
      </c>
      <c r="D8" s="244"/>
      <c r="E8" s="245"/>
      <c r="F8" s="63"/>
      <c r="G8" s="63"/>
      <c r="H8" s="63"/>
    </row>
    <row r="9" spans="2:8" ht="17.600000000000001">
      <c r="B9" s="5" t="s">
        <v>133</v>
      </c>
      <c r="C9" s="158">
        <f>'1. Stocker Financial Data '!C5</f>
        <v>100</v>
      </c>
      <c r="D9" s="2" t="s">
        <v>27</v>
      </c>
      <c r="E9" s="126">
        <f>C9*450</f>
        <v>45000</v>
      </c>
      <c r="F9" s="232">
        <f>E9/C9</f>
        <v>450</v>
      </c>
      <c r="G9" s="63"/>
      <c r="H9" s="63"/>
    </row>
    <row r="10" spans="2:8">
      <c r="B10" s="2" t="s">
        <v>47</v>
      </c>
      <c r="C10" s="1" t="s">
        <v>4</v>
      </c>
      <c r="D10" s="10">
        <f>E9/C9</f>
        <v>450</v>
      </c>
      <c r="E10" s="218" t="s">
        <v>190</v>
      </c>
      <c r="F10" t="s">
        <v>192</v>
      </c>
      <c r="G10" s="217">
        <v>6</v>
      </c>
      <c r="H10" s="5" t="s">
        <v>191</v>
      </c>
    </row>
    <row r="11" spans="2:8">
      <c r="B11" s="219" t="s">
        <v>193</v>
      </c>
      <c r="C11" s="17" t="s">
        <v>189</v>
      </c>
      <c r="D11" s="214">
        <v>0</v>
      </c>
      <c r="E11" s="215">
        <f>IF(D11=0,0,(1-(D11/E9)))</f>
        <v>0</v>
      </c>
      <c r="F11" s="45">
        <f>IF(D11=0,0,((E9-D11)/C9))</f>
        <v>0</v>
      </c>
      <c r="G11" s="216" t="str">
        <f>IF(E11&gt;G10*0.01,"Cattle with high freight shrink will have lower ADG and higher feed cost."," ")</f>
        <v xml:space="preserve"> </v>
      </c>
    </row>
    <row r="12" spans="2:8" ht="17.600000000000001">
      <c r="B12" s="2" t="s">
        <v>73</v>
      </c>
      <c r="C12" s="1" t="s">
        <v>76</v>
      </c>
      <c r="D12" s="125">
        <v>400</v>
      </c>
      <c r="F12" s="63"/>
      <c r="G12" s="63"/>
      <c r="H12" s="63"/>
    </row>
    <row r="13" spans="2:8" ht="17.600000000000001">
      <c r="B13" s="2" t="s">
        <v>77</v>
      </c>
      <c r="C13" s="1" t="s">
        <v>74</v>
      </c>
      <c r="D13" s="87">
        <f>D12/C9</f>
        <v>4</v>
      </c>
      <c r="F13" s="63"/>
      <c r="G13" s="63"/>
      <c r="H13" s="63"/>
    </row>
    <row r="14" spans="2:8" ht="17.600000000000001">
      <c r="B14" t="s">
        <v>82</v>
      </c>
      <c r="C14" s="1" t="s">
        <v>75</v>
      </c>
      <c r="D14" s="10">
        <f>E9/D12</f>
        <v>112.5</v>
      </c>
      <c r="F14" s="63"/>
      <c r="G14" s="63"/>
      <c r="H14" s="63"/>
    </row>
    <row r="15" spans="2:8" ht="17.600000000000001">
      <c r="B15" t="s">
        <v>36</v>
      </c>
      <c r="C15" s="55" t="s">
        <v>48</v>
      </c>
      <c r="D15" s="127">
        <v>20000</v>
      </c>
      <c r="F15" s="63"/>
      <c r="G15" s="63"/>
    </row>
    <row r="16" spans="2:8" ht="17.600000000000001">
      <c r="B16" t="s">
        <v>45</v>
      </c>
      <c r="C16" s="55" t="s">
        <v>37</v>
      </c>
      <c r="D16" s="50">
        <f>D15/C20</f>
        <v>202.02020202020202</v>
      </c>
      <c r="F16" s="233"/>
      <c r="G16" s="63"/>
      <c r="H16" s="63"/>
    </row>
    <row r="17" spans="2:10" ht="17.600000000000001">
      <c r="B17" s="5" t="s">
        <v>128</v>
      </c>
      <c r="C17" s="238">
        <v>1.5</v>
      </c>
      <c r="D17" s="5" t="s">
        <v>130</v>
      </c>
      <c r="E17" s="128">
        <v>0</v>
      </c>
      <c r="F17" s="63"/>
      <c r="G17" s="63"/>
      <c r="H17" s="63"/>
    </row>
    <row r="18" spans="2:10" ht="17.600000000000001">
      <c r="B18" s="5" t="s">
        <v>129</v>
      </c>
      <c r="C18" s="148">
        <f>C17+E17</f>
        <v>1.5</v>
      </c>
      <c r="D18" s="149">
        <f>(C18/C9)</f>
        <v>1.4999999999999999E-2</v>
      </c>
      <c r="F18" s="63"/>
      <c r="G18" s="63"/>
      <c r="H18" s="63"/>
    </row>
    <row r="19" spans="2:10" ht="17.600000000000001">
      <c r="B19" t="s">
        <v>24</v>
      </c>
      <c r="C19" s="129">
        <v>43905</v>
      </c>
      <c r="D19" t="s">
        <v>25</v>
      </c>
      <c r="E19" s="241" t="s">
        <v>140</v>
      </c>
      <c r="F19" s="242"/>
      <c r="G19" s="63"/>
      <c r="H19" s="63"/>
    </row>
    <row r="20" spans="2:10" ht="17.600000000000001">
      <c r="B20" s="57" t="s">
        <v>40</v>
      </c>
      <c r="C20" s="130">
        <v>99</v>
      </c>
      <c r="D20" s="5" t="s">
        <v>107</v>
      </c>
      <c r="E20" s="127">
        <f>C20*800</f>
        <v>79200</v>
      </c>
      <c r="F20" s="63"/>
      <c r="G20" s="63"/>
      <c r="H20" s="63"/>
    </row>
    <row r="21" spans="2:10" ht="17.600000000000001">
      <c r="B21" t="s">
        <v>29</v>
      </c>
      <c r="C21" s="128">
        <v>2</v>
      </c>
      <c r="D21" s="5" t="s">
        <v>108</v>
      </c>
      <c r="E21" s="45">
        <f>E20/C20</f>
        <v>800</v>
      </c>
      <c r="F21" s="63"/>
      <c r="G21" s="63"/>
      <c r="H21" s="63"/>
    </row>
    <row r="22" spans="2:10" ht="17.600000000000001">
      <c r="B22" t="s">
        <v>78</v>
      </c>
      <c r="C22" s="50">
        <f>E22/D12</f>
        <v>85.5</v>
      </c>
      <c r="D22" s="5" t="s">
        <v>109</v>
      </c>
      <c r="E22" s="50">
        <f>E20-E9</f>
        <v>34200</v>
      </c>
      <c r="F22" s="63"/>
      <c r="G22" s="63"/>
      <c r="H22" s="63"/>
    </row>
    <row r="23" spans="2:10" ht="17.600000000000001">
      <c r="B23" s="95" t="s">
        <v>111</v>
      </c>
      <c r="C23" s="131">
        <f>E22/D15</f>
        <v>1.71</v>
      </c>
      <c r="D23" t="s">
        <v>110</v>
      </c>
      <c r="E23" s="45">
        <f>E22/C20</f>
        <v>345.45454545454544</v>
      </c>
      <c r="F23" s="63"/>
      <c r="G23" s="63"/>
      <c r="H23" s="63"/>
    </row>
    <row r="24" spans="2:10">
      <c r="C24" s="4"/>
      <c r="D24" s="42"/>
      <c r="E24" s="49"/>
      <c r="F24" s="41"/>
      <c r="G24" s="43"/>
      <c r="H24" s="43"/>
      <c r="I24" s="41"/>
    </row>
    <row r="25" spans="2:10" ht="15.45">
      <c r="B25" s="13" t="s">
        <v>51</v>
      </c>
      <c r="D25" s="114" t="s">
        <v>56</v>
      </c>
      <c r="E25" s="115" t="s">
        <v>144</v>
      </c>
      <c r="F25" s="114" t="s">
        <v>6</v>
      </c>
      <c r="H25" s="45"/>
      <c r="J25" s="9"/>
    </row>
    <row r="26" spans="2:10" ht="15.45">
      <c r="B26" s="169" t="s">
        <v>58</v>
      </c>
      <c r="C26" s="179" t="s">
        <v>5</v>
      </c>
      <c r="D26" s="180">
        <f>F26/E20*100</f>
        <v>146.46464646464648</v>
      </c>
      <c r="E26" s="180">
        <f>F26/C20</f>
        <v>1171.7171717171718</v>
      </c>
      <c r="F26" s="181">
        <f>'1. Stocker Financial Data '!C9+'1. Stocker Financial Data '!C10</f>
        <v>116000</v>
      </c>
      <c r="H26" s="5"/>
      <c r="J26" s="9"/>
    </row>
    <row r="27" spans="2:10">
      <c r="B27" s="2"/>
      <c r="C27" s="1"/>
      <c r="H27" s="5"/>
    </row>
    <row r="28" spans="2:10" ht="15.45">
      <c r="B28" s="13" t="s">
        <v>103</v>
      </c>
      <c r="C28" s="1"/>
      <c r="D28" s="7"/>
      <c r="G28" s="5" t="s">
        <v>123</v>
      </c>
      <c r="H28" s="5"/>
    </row>
    <row r="29" spans="2:10">
      <c r="B29" s="5" t="s">
        <v>57</v>
      </c>
      <c r="C29" s="1"/>
      <c r="D29" s="6">
        <f>F29/$E$9*100</f>
        <v>180</v>
      </c>
      <c r="E29" s="47">
        <f>$D$10*D29*0.01</f>
        <v>810</v>
      </c>
      <c r="F29" s="40">
        <f>'1. Stocker Financial Data '!C13</f>
        <v>81000</v>
      </c>
      <c r="G29" s="142">
        <f>IF(F29=0," ",F29/$F$63)</f>
        <v>0.71513075415393856</v>
      </c>
      <c r="H29" s="7"/>
    </row>
    <row r="30" spans="2:10">
      <c r="B30" s="2" t="s">
        <v>21</v>
      </c>
      <c r="C30" s="1"/>
      <c r="D30" s="6">
        <f>F30/$E$9*100</f>
        <v>0</v>
      </c>
      <c r="E30" s="47">
        <f>$D$10*D30*0.01</f>
        <v>0</v>
      </c>
      <c r="F30" s="37">
        <f>'1. Stocker Financial Data '!C14</f>
        <v>0</v>
      </c>
      <c r="G30" s="142" t="str">
        <f>IF(F30=0," ",F30/$F$63)</f>
        <v xml:space="preserve"> </v>
      </c>
      <c r="H30" s="39">
        <f>F30/F29</f>
        <v>0</v>
      </c>
    </row>
    <row r="31" spans="2:10">
      <c r="B31" s="2" t="s">
        <v>22</v>
      </c>
      <c r="C31" s="1"/>
      <c r="D31" s="6">
        <f>F31/$E$9*100</f>
        <v>0</v>
      </c>
      <c r="E31" s="47">
        <f>$D$10*D31*0.01</f>
        <v>0</v>
      </c>
      <c r="F31" s="37">
        <f>'1. Stocker Financial Data '!C15</f>
        <v>0</v>
      </c>
      <c r="G31" s="142" t="str">
        <f>IF(F31=0," ",F31/$F$63)</f>
        <v xml:space="preserve"> </v>
      </c>
      <c r="H31" s="5"/>
    </row>
    <row r="32" spans="2:10">
      <c r="B32" s="2" t="s">
        <v>50</v>
      </c>
      <c r="C32" s="1"/>
      <c r="D32" s="6">
        <f>F32/$E$9*100</f>
        <v>0</v>
      </c>
      <c r="E32" s="47">
        <f>$D$10*D32*0.01</f>
        <v>0</v>
      </c>
      <c r="F32" s="38">
        <f>'1. Stocker Financial Data '!C16</f>
        <v>0</v>
      </c>
      <c r="G32" s="142" t="str">
        <f>IF(F32=0," ",F32/$F$63)</f>
        <v xml:space="preserve"> </v>
      </c>
      <c r="H32" s="5"/>
    </row>
    <row r="33" spans="2:10" ht="15.45">
      <c r="B33" s="169" t="s">
        <v>59</v>
      </c>
      <c r="C33" s="179"/>
      <c r="D33" s="182">
        <f>SUM(D29:D32)</f>
        <v>180</v>
      </c>
      <c r="E33" s="183">
        <f>SUM(E29:E32)</f>
        <v>810</v>
      </c>
      <c r="F33" s="184">
        <f>F29+F30+F31+F32</f>
        <v>81000</v>
      </c>
      <c r="G33" s="185">
        <f>F33/$F$63</f>
        <v>0.71513075415393856</v>
      </c>
      <c r="H33" s="5"/>
    </row>
    <row r="34" spans="2:10" ht="15.45">
      <c r="B34" s="13"/>
      <c r="C34" s="14"/>
      <c r="D34" s="67" t="s">
        <v>207</v>
      </c>
      <c r="E34" s="48" t="s">
        <v>143</v>
      </c>
      <c r="F34" s="15"/>
      <c r="G34" s="74"/>
      <c r="H34" s="5"/>
    </row>
    <row r="35" spans="2:10">
      <c r="B35" s="5" t="s">
        <v>67</v>
      </c>
      <c r="C35" s="24" t="s">
        <v>9</v>
      </c>
      <c r="D35" s="25">
        <f t="shared" ref="D35:D51" si="0">$C$9</f>
        <v>100</v>
      </c>
      <c r="E35" s="65">
        <f t="shared" ref="E35:E51" si="1">F35/D35</f>
        <v>0</v>
      </c>
      <c r="F35" s="64">
        <f>'1. Stocker Financial Data '!C18</f>
        <v>0</v>
      </c>
      <c r="G35" s="142" t="str">
        <f>IF(F35=0," ",F35/$F$63)</f>
        <v xml:space="preserve"> </v>
      </c>
      <c r="H35" s="5"/>
    </row>
    <row r="36" spans="2:10">
      <c r="B36" s="5" t="s">
        <v>118</v>
      </c>
      <c r="C36" s="24" t="s">
        <v>9</v>
      </c>
      <c r="D36" s="25">
        <f t="shared" si="0"/>
        <v>100</v>
      </c>
      <c r="E36" s="65">
        <f t="shared" si="1"/>
        <v>0</v>
      </c>
      <c r="F36" s="64">
        <f>'1. Stocker Financial Data '!C19</f>
        <v>0</v>
      </c>
      <c r="G36" s="142" t="str">
        <f t="shared" ref="G36:G51" si="2">IF(F36=0," ",F36/$F$63)</f>
        <v xml:space="preserve"> </v>
      </c>
      <c r="H36" s="5"/>
    </row>
    <row r="37" spans="2:10">
      <c r="B37" s="5" t="s">
        <v>68</v>
      </c>
      <c r="C37" s="24" t="s">
        <v>9</v>
      </c>
      <c r="D37" s="25">
        <f t="shared" si="0"/>
        <v>100</v>
      </c>
      <c r="E37" s="65">
        <f t="shared" si="1"/>
        <v>0</v>
      </c>
      <c r="F37" s="64">
        <f>'1. Stocker Financial Data '!C20</f>
        <v>0</v>
      </c>
      <c r="G37" s="142" t="str">
        <f t="shared" si="2"/>
        <v xml:space="preserve"> </v>
      </c>
      <c r="H37" s="20"/>
    </row>
    <row r="38" spans="2:10">
      <c r="B38" s="5" t="s">
        <v>119</v>
      </c>
      <c r="C38" s="24" t="s">
        <v>9</v>
      </c>
      <c r="D38" s="25">
        <f t="shared" si="0"/>
        <v>100</v>
      </c>
      <c r="E38" s="65">
        <f t="shared" si="1"/>
        <v>0</v>
      </c>
      <c r="F38" s="64">
        <f>'1. Stocker Financial Data '!C21</f>
        <v>0</v>
      </c>
      <c r="G38" s="142" t="str">
        <f t="shared" si="2"/>
        <v xml:space="preserve"> </v>
      </c>
    </row>
    <row r="39" spans="2:10" ht="15.45">
      <c r="B39" s="5" t="s">
        <v>137</v>
      </c>
      <c r="C39" s="24" t="s">
        <v>9</v>
      </c>
      <c r="D39" s="25">
        <f t="shared" si="0"/>
        <v>100</v>
      </c>
      <c r="E39" s="65">
        <f t="shared" si="1"/>
        <v>180</v>
      </c>
      <c r="F39" s="64">
        <f>'1. Stocker Financial Data '!C22</f>
        <v>18000</v>
      </c>
      <c r="G39" s="142">
        <f t="shared" si="2"/>
        <v>0.15891794536754189</v>
      </c>
      <c r="H39" s="72">
        <f>SUM(F35:F39)</f>
        <v>18000</v>
      </c>
      <c r="I39" s="23" t="s">
        <v>79</v>
      </c>
    </row>
    <row r="40" spans="2:10" ht="15.45">
      <c r="B40" s="5" t="s">
        <v>69</v>
      </c>
      <c r="C40" s="24" t="s">
        <v>9</v>
      </c>
      <c r="D40" s="25">
        <f t="shared" si="0"/>
        <v>100</v>
      </c>
      <c r="E40" s="65">
        <f t="shared" si="1"/>
        <v>0</v>
      </c>
      <c r="F40" s="64">
        <f>'1. Stocker Financial Data '!C23</f>
        <v>0</v>
      </c>
      <c r="G40" s="142" t="str">
        <f t="shared" si="2"/>
        <v xml:space="preserve"> </v>
      </c>
      <c r="H40" s="72"/>
      <c r="I40" s="23"/>
    </row>
    <row r="41" spans="2:10" ht="15.45">
      <c r="B41" t="s">
        <v>65</v>
      </c>
      <c r="C41" s="24" t="s">
        <v>9</v>
      </c>
      <c r="D41" s="25">
        <f t="shared" si="0"/>
        <v>100</v>
      </c>
      <c r="E41" s="65">
        <f t="shared" si="1"/>
        <v>0</v>
      </c>
      <c r="F41" s="64">
        <f>'1. Stocker Financial Data '!C25</f>
        <v>0</v>
      </c>
      <c r="G41" s="142" t="str">
        <f t="shared" si="2"/>
        <v xml:space="preserve"> </v>
      </c>
      <c r="H41" s="72"/>
      <c r="I41" s="23"/>
    </row>
    <row r="42" spans="2:10">
      <c r="B42" t="s">
        <v>43</v>
      </c>
      <c r="C42" s="24" t="s">
        <v>9</v>
      </c>
      <c r="D42" s="25">
        <f t="shared" si="0"/>
        <v>100</v>
      </c>
      <c r="E42" s="65">
        <f t="shared" si="1"/>
        <v>0</v>
      </c>
      <c r="F42" s="64">
        <f>'1. Stocker Financial Data '!C26</f>
        <v>0</v>
      </c>
      <c r="G42" s="142" t="str">
        <f t="shared" si="2"/>
        <v xml:space="preserve"> </v>
      </c>
      <c r="H42" s="20"/>
    </row>
    <row r="43" spans="2:10">
      <c r="B43" s="5" t="s">
        <v>116</v>
      </c>
      <c r="C43" s="24" t="s">
        <v>9</v>
      </c>
      <c r="D43" s="25">
        <f t="shared" si="0"/>
        <v>100</v>
      </c>
      <c r="E43" s="65">
        <f t="shared" si="1"/>
        <v>16.77</v>
      </c>
      <c r="F43" s="64">
        <f>'1. Stocker Financial Data '!C27</f>
        <v>1677</v>
      </c>
      <c r="G43" s="142">
        <f t="shared" si="2"/>
        <v>1.480585524340932E-2</v>
      </c>
      <c r="I43" s="137" t="s">
        <v>122</v>
      </c>
    </row>
    <row r="44" spans="2:10">
      <c r="B44" s="5" t="s">
        <v>115</v>
      </c>
      <c r="C44" s="24" t="s">
        <v>9</v>
      </c>
      <c r="D44" s="25">
        <f t="shared" si="0"/>
        <v>100</v>
      </c>
      <c r="E44" s="65">
        <f t="shared" si="1"/>
        <v>0</v>
      </c>
      <c r="F44" s="64">
        <f>'1. Stocker Financial Data '!C28</f>
        <v>0</v>
      </c>
      <c r="G44" s="142" t="str">
        <f t="shared" si="2"/>
        <v xml:space="preserve"> </v>
      </c>
      <c r="H44" s="20"/>
      <c r="I44" s="21"/>
    </row>
    <row r="45" spans="2:10">
      <c r="B45" s="5" t="s">
        <v>121</v>
      </c>
      <c r="C45" s="24" t="s">
        <v>9</v>
      </c>
      <c r="D45" s="25">
        <f t="shared" si="0"/>
        <v>100</v>
      </c>
      <c r="E45" s="65">
        <f t="shared" si="1"/>
        <v>0</v>
      </c>
      <c r="F45" s="64">
        <f>'1. Stocker Financial Data '!C29</f>
        <v>0</v>
      </c>
      <c r="G45" s="142" t="str">
        <f t="shared" si="2"/>
        <v xml:space="preserve"> </v>
      </c>
      <c r="H45" s="20"/>
      <c r="I45" s="21"/>
    </row>
    <row r="46" spans="2:10">
      <c r="B46" s="135" t="s">
        <v>120</v>
      </c>
      <c r="C46" s="24" t="s">
        <v>9</v>
      </c>
      <c r="D46" s="25">
        <f t="shared" si="0"/>
        <v>100</v>
      </c>
      <c r="E46" s="65">
        <f t="shared" si="1"/>
        <v>77.400000000000006</v>
      </c>
      <c r="F46" s="64">
        <f>'1. Stocker Financial Data '!C30</f>
        <v>7740</v>
      </c>
      <c r="G46" s="142">
        <f t="shared" si="2"/>
        <v>6.8334716508043014E-2</v>
      </c>
      <c r="H46" s="20"/>
      <c r="I46" s="21"/>
    </row>
    <row r="47" spans="2:10">
      <c r="B47" s="135" t="s">
        <v>120</v>
      </c>
      <c r="C47" s="24" t="s">
        <v>9</v>
      </c>
      <c r="D47" s="25">
        <f t="shared" si="0"/>
        <v>100</v>
      </c>
      <c r="E47" s="65">
        <f t="shared" si="1"/>
        <v>0</v>
      </c>
      <c r="F47" s="64">
        <f>'1. Stocker Financial Data '!C31</f>
        <v>0</v>
      </c>
      <c r="G47" s="142" t="str">
        <f t="shared" si="2"/>
        <v xml:space="preserve"> </v>
      </c>
      <c r="H47" s="20"/>
    </row>
    <row r="48" spans="2:10">
      <c r="B48" s="135" t="s">
        <v>120</v>
      </c>
      <c r="C48" s="24" t="s">
        <v>9</v>
      </c>
      <c r="D48" s="25">
        <f t="shared" si="0"/>
        <v>100</v>
      </c>
      <c r="E48" s="65">
        <f t="shared" si="1"/>
        <v>0</v>
      </c>
      <c r="F48" s="64">
        <f>'1. Stocker Financial Data '!C32</f>
        <v>0</v>
      </c>
      <c r="G48" s="142" t="str">
        <f t="shared" si="2"/>
        <v xml:space="preserve"> </v>
      </c>
      <c r="H48" s="20"/>
      <c r="I48" s="231">
        <f>C19-C7</f>
        <v>166</v>
      </c>
      <c r="J48" s="5" t="s">
        <v>198</v>
      </c>
    </row>
    <row r="49" spans="2:10">
      <c r="B49" t="s">
        <v>125</v>
      </c>
      <c r="C49" s="24" t="s">
        <v>9</v>
      </c>
      <c r="D49" s="25">
        <f t="shared" si="0"/>
        <v>100</v>
      </c>
      <c r="E49" s="65">
        <f t="shared" si="1"/>
        <v>0</v>
      </c>
      <c r="F49" s="64">
        <f>'1. Stocker Financial Data '!C33</f>
        <v>0</v>
      </c>
      <c r="G49" s="142" t="str">
        <f t="shared" si="2"/>
        <v xml:space="preserve"> </v>
      </c>
      <c r="H49" s="20"/>
      <c r="I49" s="21"/>
      <c r="J49" t="s">
        <v>145</v>
      </c>
    </row>
    <row r="50" spans="2:10">
      <c r="B50" t="s">
        <v>138</v>
      </c>
      <c r="C50" s="24" t="s">
        <v>9</v>
      </c>
      <c r="D50" s="25">
        <f t="shared" si="0"/>
        <v>100</v>
      </c>
      <c r="E50" s="65">
        <f t="shared" si="1"/>
        <v>0</v>
      </c>
      <c r="F50" s="64">
        <f>'1. Stocker Financial Data '!C34</f>
        <v>0</v>
      </c>
      <c r="G50" s="142" t="str">
        <f t="shared" si="2"/>
        <v xml:space="preserve"> </v>
      </c>
      <c r="H50" s="20"/>
      <c r="I50" s="7">
        <f>((F53+F57)*0.5)*(I48/365)</f>
        <v>6734.8246575342473</v>
      </c>
      <c r="J50" t="s">
        <v>7</v>
      </c>
    </row>
    <row r="51" spans="2:10">
      <c r="B51" s="58" t="s">
        <v>66</v>
      </c>
      <c r="C51" s="24" t="s">
        <v>9</v>
      </c>
      <c r="D51" s="25">
        <f t="shared" si="0"/>
        <v>100</v>
      </c>
      <c r="E51" s="65">
        <f t="shared" si="1"/>
        <v>0</v>
      </c>
      <c r="F51" s="64">
        <f>'1. Stocker Financial Data '!C35</f>
        <v>0</v>
      </c>
      <c r="G51" s="142" t="str">
        <f t="shared" si="2"/>
        <v xml:space="preserve"> </v>
      </c>
      <c r="H51" s="20"/>
      <c r="I51" s="22">
        <f>(F33)*((I48/365))</f>
        <v>36838.356164383564</v>
      </c>
      <c r="J51" t="s">
        <v>8</v>
      </c>
    </row>
    <row r="52" spans="2:10" ht="15.45">
      <c r="B52" s="107" t="s">
        <v>114</v>
      </c>
      <c r="C52" s="132"/>
      <c r="D52" s="133"/>
      <c r="E52" s="134"/>
      <c r="F52" s="111">
        <f>SUM(F33:F51)</f>
        <v>108417</v>
      </c>
      <c r="G52" s="140">
        <f>F52/$F$63</f>
        <v>0.95718927127293274</v>
      </c>
      <c r="H52" s="20"/>
      <c r="I52" s="22"/>
    </row>
    <row r="53" spans="2:10">
      <c r="B53" s="52" t="s">
        <v>98</v>
      </c>
      <c r="C53" s="24"/>
      <c r="D53" s="25"/>
      <c r="E53" s="66"/>
      <c r="F53" s="20">
        <f>F52-F33</f>
        <v>27417</v>
      </c>
      <c r="G53" s="139">
        <f>F53/$F$63</f>
        <v>0.24205851711899423</v>
      </c>
      <c r="H53" s="20"/>
      <c r="I53" s="22"/>
    </row>
    <row r="54" spans="2:10" ht="15.45">
      <c r="B54" s="105" t="s">
        <v>200</v>
      </c>
      <c r="C54" s="24"/>
      <c r="D54" s="114" t="s">
        <v>56</v>
      </c>
      <c r="E54" s="115" t="s">
        <v>84</v>
      </c>
      <c r="F54" s="114" t="s">
        <v>6</v>
      </c>
      <c r="G54" s="20"/>
      <c r="H54" s="20"/>
      <c r="I54" s="138">
        <f>(I50+I51)</f>
        <v>43573.180821917813</v>
      </c>
      <c r="J54" t="s">
        <v>169</v>
      </c>
    </row>
    <row r="55" spans="2:10" ht="15.45">
      <c r="B55" s="235" t="s">
        <v>200</v>
      </c>
      <c r="C55" s="88" t="s">
        <v>9</v>
      </c>
      <c r="D55" s="116">
        <f>F55/$E$20*100</f>
        <v>1.5151515151515151</v>
      </c>
      <c r="E55" s="66">
        <f>F55/$C$9</f>
        <v>12</v>
      </c>
      <c r="F55" s="53">
        <f>'1. Stocker Financial Data '!C36</f>
        <v>1200</v>
      </c>
      <c r="G55" s="15"/>
      <c r="H55" s="20"/>
      <c r="I55" s="143" t="s">
        <v>148</v>
      </c>
    </row>
    <row r="56" spans="2:10" ht="15.45">
      <c r="B56" s="113" t="s">
        <v>100</v>
      </c>
      <c r="C56" s="5"/>
      <c r="D56" s="116">
        <f>F56/$E$20*100</f>
        <v>1.2626262626262625</v>
      </c>
      <c r="E56" s="147">
        <f>F56/$C$9</f>
        <v>10</v>
      </c>
      <c r="F56" s="53">
        <f>'1. Stocker Financial Data '!C37</f>
        <v>1000</v>
      </c>
      <c r="G56" s="20"/>
      <c r="H56" s="15"/>
      <c r="I56" s="143" t="s">
        <v>155</v>
      </c>
    </row>
    <row r="57" spans="2:10" ht="15.45">
      <c r="B57" s="175" t="s">
        <v>201</v>
      </c>
      <c r="C57" s="176"/>
      <c r="D57" s="171">
        <f>F57/$E$20*100</f>
        <v>2.7777777777777777</v>
      </c>
      <c r="E57" s="177">
        <f>F57/$C$9</f>
        <v>22</v>
      </c>
      <c r="F57" s="178">
        <f>F55+F56</f>
        <v>2200</v>
      </c>
      <c r="G57" s="174">
        <f>IF(F57=0," ",F57/$F$63)</f>
        <v>1.9423304433810677E-2</v>
      </c>
      <c r="H57" s="15"/>
    </row>
    <row r="58" spans="2:10" ht="15.45">
      <c r="B58" s="113"/>
      <c r="E58" s="13" t="s">
        <v>105</v>
      </c>
      <c r="G58" s="20"/>
      <c r="H58" s="15"/>
    </row>
    <row r="59" spans="2:10" ht="15.45">
      <c r="B59" s="106" t="s">
        <v>39</v>
      </c>
      <c r="C59" s="106"/>
      <c r="D59" s="112">
        <f>F59/$E$20*100</f>
        <v>139.66792929292927</v>
      </c>
      <c r="E59" s="111">
        <f>F59/C20</f>
        <v>1117.3434343434344</v>
      </c>
      <c r="F59" s="111">
        <f>F52+F57</f>
        <v>110617</v>
      </c>
      <c r="G59" s="141">
        <f>F59/$F$63</f>
        <v>0.97661257570674342</v>
      </c>
      <c r="H59" s="15"/>
      <c r="I59" s="33"/>
    </row>
    <row r="60" spans="2:10" ht="15.45">
      <c r="C60" s="2"/>
      <c r="D60" s="5"/>
      <c r="E60" s="7"/>
      <c r="F60" s="5"/>
      <c r="G60" s="20"/>
      <c r="H60" s="15"/>
    </row>
    <row r="61" spans="2:10" ht="15.45">
      <c r="B61" s="169" t="s">
        <v>53</v>
      </c>
      <c r="C61" s="170"/>
      <c r="D61" s="171">
        <f>F61/$E$20*100</f>
        <v>3.3446969696969697</v>
      </c>
      <c r="E61" s="172">
        <f>(F61/$C$20)</f>
        <v>26.757575757575758</v>
      </c>
      <c r="F61" s="173">
        <f>'1. Stocker Financial Data '!C38</f>
        <v>2649</v>
      </c>
      <c r="G61" s="174">
        <f>IF(F61=0," ",F61/$F$63)</f>
        <v>2.3387424293256583E-2</v>
      </c>
      <c r="I61" s="27"/>
    </row>
    <row r="62" spans="2:10" ht="15.45">
      <c r="H62" s="15"/>
    </row>
    <row r="63" spans="2:10" ht="15.45">
      <c r="B63" s="106" t="s">
        <v>96</v>
      </c>
      <c r="C63" s="117"/>
      <c r="D63" s="112">
        <f>F63/$E$20*100</f>
        <v>143.01262626262624</v>
      </c>
      <c r="E63" s="96">
        <f>(F63/$C$20)</f>
        <v>1144.1010101010102</v>
      </c>
      <c r="F63" s="118">
        <f>F59+F61</f>
        <v>113266</v>
      </c>
      <c r="G63" s="139">
        <f>F63/$F$63</f>
        <v>1</v>
      </c>
      <c r="H63" s="15"/>
    </row>
    <row r="64" spans="2:10" ht="15.45">
      <c r="B64" s="13"/>
      <c r="C64" s="73"/>
      <c r="H64" s="15"/>
    </row>
    <row r="65" spans="2:13" ht="15.45">
      <c r="B65" s="109" t="s">
        <v>168</v>
      </c>
      <c r="C65" s="110"/>
      <c r="D65" s="94">
        <f>F65/$E$20*100</f>
        <v>3.452020202020202</v>
      </c>
      <c r="E65" s="94">
        <f>(F65/$C$20)</f>
        <v>27.616161616161616</v>
      </c>
      <c r="F65" s="120">
        <f>F26-F63</f>
        <v>2734</v>
      </c>
      <c r="G65" s="5"/>
      <c r="H65" s="15"/>
    </row>
    <row r="66" spans="2:13" ht="15.45">
      <c r="B66" s="46"/>
      <c r="C66" s="2"/>
      <c r="D66" s="2"/>
      <c r="E66" s="14"/>
      <c r="F66" s="19"/>
      <c r="G66" s="20"/>
      <c r="H66" s="68"/>
    </row>
    <row r="67" spans="2:13" ht="15.45">
      <c r="B67" s="106" t="s">
        <v>80</v>
      </c>
      <c r="C67" s="121"/>
      <c r="D67" s="122">
        <f>I54</f>
        <v>43573.180821917813</v>
      </c>
      <c r="E67" s="123"/>
      <c r="F67" s="124">
        <f>(F65+F61)/D67</f>
        <v>0.12353929409009977</v>
      </c>
      <c r="G67" s="18"/>
      <c r="H67" s="68"/>
    </row>
    <row r="68" spans="2:13" ht="15.45">
      <c r="B68" s="224"/>
      <c r="C68" s="225"/>
      <c r="D68" s="226"/>
      <c r="E68" s="43"/>
      <c r="F68" s="227"/>
      <c r="G68" s="228"/>
      <c r="H68" s="68"/>
    </row>
    <row r="69" spans="2:13" ht="15.45">
      <c r="B69" s="46"/>
      <c r="C69" s="2"/>
      <c r="D69" s="2"/>
      <c r="G69" s="20"/>
      <c r="H69" s="15"/>
    </row>
    <row r="70" spans="2:13" ht="15.45">
      <c r="B70" s="46" t="s">
        <v>166</v>
      </c>
      <c r="C70" s="2"/>
      <c r="D70" s="2"/>
      <c r="G70" s="20"/>
      <c r="H70" s="15"/>
    </row>
    <row r="71" spans="2:13" ht="15.45">
      <c r="B71" s="5" t="s">
        <v>10</v>
      </c>
      <c r="C71" s="1"/>
      <c r="D71" s="2"/>
      <c r="E71" s="17" t="s">
        <v>1</v>
      </c>
      <c r="F71" s="90">
        <f>L78</f>
        <v>-152.43342516069782</v>
      </c>
      <c r="H71" s="15"/>
    </row>
    <row r="72" spans="2:13" ht="15.45">
      <c r="B72" s="5" t="s">
        <v>11</v>
      </c>
      <c r="C72" s="5"/>
      <c r="D72" s="5"/>
      <c r="E72" s="17" t="s">
        <v>1</v>
      </c>
      <c r="F72" s="90">
        <f>L79</f>
        <v>180.04958677685951</v>
      </c>
      <c r="G72" s="28"/>
      <c r="H72" s="15"/>
    </row>
    <row r="73" spans="2:13" ht="15.45">
      <c r="B73" s="13" t="s">
        <v>28</v>
      </c>
      <c r="C73" s="5"/>
      <c r="D73" s="5"/>
      <c r="E73" s="14" t="s">
        <v>1</v>
      </c>
      <c r="F73" s="89">
        <f>L80</f>
        <v>27.616161616161691</v>
      </c>
      <c r="G73" s="28"/>
      <c r="H73" s="15"/>
    </row>
    <row r="74" spans="2:13">
      <c r="B74" s="5"/>
      <c r="C74" s="44"/>
      <c r="D74" s="26" t="s">
        <v>124</v>
      </c>
    </row>
    <row r="75" spans="2:13" ht="15.45">
      <c r="B75" s="13" t="s">
        <v>60</v>
      </c>
      <c r="C75" s="30">
        <f>F33/C20</f>
        <v>818.18181818181813</v>
      </c>
      <c r="D75" s="74">
        <f>C75/$C$80</f>
        <v>0.71513075415393845</v>
      </c>
      <c r="E75" s="55" t="s">
        <v>31</v>
      </c>
    </row>
    <row r="76" spans="2:13" ht="15.45">
      <c r="B76" s="2"/>
      <c r="C76" s="30"/>
      <c r="D76" s="74"/>
      <c r="E76" s="55"/>
    </row>
    <row r="77" spans="2:13" ht="15.45">
      <c r="B77" s="5" t="s">
        <v>30</v>
      </c>
      <c r="C77" s="30">
        <f>H39/C20</f>
        <v>181.81818181818181</v>
      </c>
      <c r="D77" s="74">
        <f>C77/$C$80</f>
        <v>0.15891794536754189</v>
      </c>
      <c r="E77" s="47">
        <f>C77/$E$23</f>
        <v>0.52631578947368418</v>
      </c>
      <c r="K77" s="5"/>
      <c r="L77" s="17" t="s">
        <v>1</v>
      </c>
    </row>
    <row r="78" spans="2:13" ht="15.45">
      <c r="B78" s="5" t="s">
        <v>61</v>
      </c>
      <c r="C78" s="30">
        <f>(F63-H39-F33)/C20</f>
        <v>144.1010101010101</v>
      </c>
      <c r="D78" s="74">
        <f>C78/$C$80</f>
        <v>0.12595130047851957</v>
      </c>
      <c r="E78" s="47">
        <f>C78/$E$23</f>
        <v>0.41713450292397664</v>
      </c>
      <c r="K78" t="s">
        <v>10</v>
      </c>
      <c r="L78" s="32">
        <f>((C9*D10*0.01)*(D26-D33)/C20)</f>
        <v>-152.43342516069782</v>
      </c>
    </row>
    <row r="79" spans="2:13" ht="15.45">
      <c r="B79" s="13" t="s">
        <v>34</v>
      </c>
      <c r="C79" s="12">
        <f>C77+C78</f>
        <v>325.91919191919192</v>
      </c>
      <c r="D79" s="74">
        <f>C79/$C$80</f>
        <v>0.28486924584606149</v>
      </c>
      <c r="E79" s="48">
        <f>C79/$E$23</f>
        <v>0.94345029239766087</v>
      </c>
      <c r="H79" s="30"/>
      <c r="K79" t="s">
        <v>13</v>
      </c>
      <c r="L79" s="30">
        <f>((D26-L85)*L84*0.01)/C20</f>
        <v>180.04958677685951</v>
      </c>
      <c r="M79" s="30"/>
    </row>
    <row r="80" spans="2:13" ht="15.45">
      <c r="B80" s="13" t="s">
        <v>62</v>
      </c>
      <c r="C80" s="12">
        <f>C75+C79</f>
        <v>1144.1010101010102</v>
      </c>
      <c r="E80" s="48"/>
      <c r="G80" s="45"/>
      <c r="H80" s="12"/>
      <c r="I80" s="13"/>
      <c r="K80" s="13" t="s">
        <v>12</v>
      </c>
      <c r="L80" s="12">
        <f>(L78+L79)</f>
        <v>27.616161616161691</v>
      </c>
    </row>
    <row r="81" spans="2:15" ht="15.45">
      <c r="B81" s="13"/>
      <c r="D81" s="48"/>
    </row>
    <row r="82" spans="2:15" ht="15.45">
      <c r="B82" s="106" t="s">
        <v>127</v>
      </c>
      <c r="C82" s="96"/>
      <c r="D82" s="96"/>
      <c r="E82" s="112">
        <f>(F26-F33)/E22</f>
        <v>1.0233918128654971</v>
      </c>
      <c r="K82" t="s">
        <v>14</v>
      </c>
      <c r="L82" s="9">
        <f>F33</f>
        <v>81000</v>
      </c>
    </row>
    <row r="83" spans="2:15">
      <c r="B83" s="143" t="s">
        <v>126</v>
      </c>
      <c r="K83" t="s">
        <v>15</v>
      </c>
      <c r="L83" s="9">
        <f>F26</f>
        <v>116000</v>
      </c>
    </row>
    <row r="84" spans="2:15" ht="15.45">
      <c r="B84" s="5"/>
      <c r="C84" s="114" t="s">
        <v>56</v>
      </c>
      <c r="E84" s="14" t="s">
        <v>64</v>
      </c>
      <c r="F84" s="14" t="s">
        <v>63</v>
      </c>
      <c r="K84" t="s">
        <v>16</v>
      </c>
      <c r="L84" s="9">
        <f>E22</f>
        <v>34200</v>
      </c>
    </row>
    <row r="85" spans="2:15" ht="15.45">
      <c r="B85" s="13" t="s">
        <v>55</v>
      </c>
      <c r="C85" s="48">
        <f>D26-D33</f>
        <v>-33.535353535353522</v>
      </c>
      <c r="E85" s="34">
        <f>D33</f>
        <v>180</v>
      </c>
      <c r="F85" s="30">
        <f>D26</f>
        <v>146.46464646464648</v>
      </c>
      <c r="H85" s="34"/>
      <c r="K85" s="5" t="s">
        <v>104</v>
      </c>
      <c r="L85" s="119">
        <f>((F53+F57+F61)/E22)*100</f>
        <v>94.345029239766092</v>
      </c>
    </row>
    <row r="86" spans="2:15" ht="15.45">
      <c r="B86" s="13"/>
      <c r="C86" s="48"/>
      <c r="E86" s="34"/>
      <c r="F86" s="30"/>
      <c r="H86" s="34"/>
    </row>
    <row r="87" spans="2:15">
      <c r="B87" s="5" t="s">
        <v>154</v>
      </c>
      <c r="E87" s="16"/>
      <c r="F87" s="31"/>
    </row>
    <row r="88" spans="2:15">
      <c r="F88" s="29"/>
    </row>
    <row r="89" spans="2:15">
      <c r="F89" s="29"/>
      <c r="J89" t="s">
        <v>161</v>
      </c>
    </row>
    <row r="90" spans="2:15">
      <c r="J90" t="s">
        <v>158</v>
      </c>
      <c r="K90" t="s">
        <v>159</v>
      </c>
      <c r="L90" t="s">
        <v>160</v>
      </c>
      <c r="M90" t="s">
        <v>12</v>
      </c>
    </row>
    <row r="91" spans="2:15" ht="15.45">
      <c r="H91" s="33"/>
      <c r="I91" t="s">
        <v>1</v>
      </c>
      <c r="J91" s="167">
        <f>E26</f>
        <v>1171.7171717171718</v>
      </c>
      <c r="K91" s="167">
        <f>F33/C20</f>
        <v>818.18181818181813</v>
      </c>
      <c r="L91" s="167">
        <f>C79</f>
        <v>325.91919191919192</v>
      </c>
      <c r="M91" s="167">
        <f>L80</f>
        <v>27.616161616161691</v>
      </c>
      <c r="N91" s="166"/>
      <c r="O91" s="30"/>
    </row>
    <row r="94" spans="2:15">
      <c r="J94" t="s">
        <v>162</v>
      </c>
    </row>
    <row r="96" spans="2:15">
      <c r="J96" t="s">
        <v>163</v>
      </c>
      <c r="K96" t="s">
        <v>164</v>
      </c>
      <c r="L96" t="s">
        <v>165</v>
      </c>
      <c r="M96" t="s">
        <v>12</v>
      </c>
    </row>
    <row r="97" spans="9:15" ht="15.45">
      <c r="I97" t="s">
        <v>1</v>
      </c>
      <c r="J97" s="167">
        <f>K91</f>
        <v>818.18181818181813</v>
      </c>
      <c r="K97" s="167">
        <f>E59</f>
        <v>1117.3434343434344</v>
      </c>
      <c r="L97" s="168">
        <f>E61</f>
        <v>26.757575757575758</v>
      </c>
      <c r="M97" s="167">
        <f>E65</f>
        <v>27.616161616161616</v>
      </c>
      <c r="O97" s="30"/>
    </row>
  </sheetData>
  <sheetProtection sheet="1"/>
  <mergeCells count="4">
    <mergeCell ref="C6:D6"/>
    <mergeCell ref="E19:F19"/>
    <mergeCell ref="B1:G1"/>
    <mergeCell ref="C8:E8"/>
  </mergeCells>
  <phoneticPr fontId="0" type="noConversion"/>
  <pageMargins left="1" right="0.5" top="1" bottom="1" header="0.5" footer="0.5"/>
  <pageSetup scale="59" orientation="portrait" r:id="rId1"/>
  <headerFooter alignWithMargins="0">
    <oddFooter>&amp;L&amp;F&amp;RPage&amp;P of &amp;N
&amp;A</oddFooter>
  </headerFooter>
  <rowBreaks count="1" manualBreakCount="1">
    <brk id="68" min="1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81"/>
  <sheetViews>
    <sheetView zoomScaleNormal="100" workbookViewId="0">
      <selection activeCell="B24" sqref="B24"/>
    </sheetView>
  </sheetViews>
  <sheetFormatPr defaultRowHeight="15"/>
  <cols>
    <col min="1" max="1" width="3.75" customWidth="1"/>
    <col min="2" max="2" width="34.6875" customWidth="1"/>
    <col min="3" max="3" width="12" customWidth="1"/>
    <col min="4" max="4" width="10.75" customWidth="1"/>
    <col min="5" max="5" width="10.0625" customWidth="1"/>
    <col min="6" max="6" width="16.875" customWidth="1"/>
    <col min="7" max="7" width="11.0625" customWidth="1"/>
    <col min="8" max="8" width="10.875" customWidth="1"/>
  </cols>
  <sheetData>
    <row r="1" spans="2:9" ht="17.600000000000001">
      <c r="B1" s="250" t="s">
        <v>196</v>
      </c>
      <c r="C1" s="251"/>
      <c r="D1" s="251"/>
      <c r="E1" s="252"/>
    </row>
    <row r="2" spans="2:9">
      <c r="B2" s="57" t="s">
        <v>0</v>
      </c>
      <c r="C2" s="8">
        <f ca="1">'2. StockerCloseOut'!C3</f>
        <v>44035</v>
      </c>
    </row>
    <row r="3" spans="2:9">
      <c r="B3" t="s">
        <v>17</v>
      </c>
      <c r="C3" s="75">
        <f>'2. StockerCloseOut'!C4</f>
        <v>1</v>
      </c>
      <c r="G3" s="2"/>
      <c r="H3" s="1"/>
      <c r="I3" s="82"/>
    </row>
    <row r="4" spans="2:9">
      <c r="B4" s="2" t="s">
        <v>19</v>
      </c>
      <c r="C4" s="246" t="str">
        <f>'2. StockerCloseOut'!C5</f>
        <v>Retained</v>
      </c>
      <c r="D4" s="247"/>
      <c r="H4" s="55"/>
      <c r="I4" s="82"/>
    </row>
    <row r="5" spans="2:9">
      <c r="B5" s="2" t="s">
        <v>49</v>
      </c>
      <c r="C5" s="248" t="str">
        <f>'2. StockerCloseOut'!C6</f>
        <v>Weaned off the cow</v>
      </c>
      <c r="D5" s="249"/>
      <c r="H5" s="62"/>
      <c r="I5" s="78"/>
    </row>
    <row r="6" spans="2:9">
      <c r="B6" s="95" t="s">
        <v>94</v>
      </c>
      <c r="C6" s="253" t="str">
        <f>'2. StockerCloseOut'!C8</f>
        <v>Preconditioned 30 days and put on wheat</v>
      </c>
      <c r="D6" s="249"/>
      <c r="E6" s="249"/>
      <c r="H6" s="62"/>
      <c r="I6" s="78"/>
    </row>
    <row r="7" spans="2:9">
      <c r="B7" t="s">
        <v>95</v>
      </c>
      <c r="C7" s="76">
        <f>'2. StockerCloseOut'!C7</f>
        <v>43739</v>
      </c>
      <c r="H7" s="62"/>
      <c r="I7" s="79"/>
    </row>
    <row r="8" spans="2:9">
      <c r="B8" s="2" t="s">
        <v>203</v>
      </c>
      <c r="C8" s="76" t="str">
        <f>'2. StockerCloseOut'!E4</f>
        <v>Angus</v>
      </c>
      <c r="D8" s="163">
        <f>'2. StockerCloseOut'!E5*0.01</f>
        <v>1</v>
      </c>
    </row>
    <row r="9" spans="2:9">
      <c r="B9" s="2" t="s">
        <v>20</v>
      </c>
      <c r="C9" s="164" t="str">
        <f>'2. StockerCloseOut'!E7</f>
        <v>Steers</v>
      </c>
    </row>
    <row r="10" spans="2:9">
      <c r="B10" t="s">
        <v>101</v>
      </c>
      <c r="C10" s="55" t="s">
        <v>35</v>
      </c>
      <c r="D10" s="186">
        <f>'2. StockerCloseOut'!C9</f>
        <v>100</v>
      </c>
    </row>
    <row r="11" spans="2:9">
      <c r="B11" s="2"/>
      <c r="C11" s="55"/>
      <c r="D11" s="82"/>
    </row>
    <row r="12" spans="2:9" ht="15.45">
      <c r="B12" s="60" t="s">
        <v>93</v>
      </c>
      <c r="C12" s="55"/>
      <c r="D12" s="14" t="s">
        <v>2</v>
      </c>
      <c r="E12" s="14" t="s">
        <v>86</v>
      </c>
    </row>
    <row r="13" spans="2:9">
      <c r="B13" s="54" t="s">
        <v>204</v>
      </c>
      <c r="D13" s="81">
        <f>'2. StockerCloseOut'!D33</f>
        <v>180</v>
      </c>
      <c r="E13" s="81">
        <f>+D13*D35*0.01</f>
        <v>810</v>
      </c>
    </row>
    <row r="14" spans="2:9" ht="15.45">
      <c r="B14" s="54"/>
      <c r="D14" s="81"/>
      <c r="E14" s="14" t="s">
        <v>70</v>
      </c>
    </row>
    <row r="15" spans="2:9">
      <c r="B15" s="54" t="s">
        <v>32</v>
      </c>
      <c r="C15" s="55"/>
      <c r="D15" s="80">
        <f>'2. StockerCloseOut'!D26</f>
        <v>146.46464646464648</v>
      </c>
      <c r="E15" s="80">
        <f>'2. StockerCloseOut'!E26</f>
        <v>1171.7171717171718</v>
      </c>
    </row>
    <row r="16" spans="2:9">
      <c r="B16" s="54"/>
      <c r="C16" s="55"/>
    </row>
    <row r="17" spans="2:5" ht="15.45">
      <c r="B17" s="169" t="s">
        <v>33</v>
      </c>
      <c r="C17" s="179" t="s">
        <v>2</v>
      </c>
      <c r="D17" s="183">
        <f>'2. StockerCloseOut'!C85</f>
        <v>-33.535353535353522</v>
      </c>
    </row>
    <row r="18" spans="2:5">
      <c r="C18" s="55"/>
      <c r="D18" s="47"/>
    </row>
    <row r="19" spans="2:5" ht="15.45">
      <c r="B19" s="234" t="s">
        <v>127</v>
      </c>
      <c r="C19" s="179" t="s">
        <v>41</v>
      </c>
      <c r="D19" s="183">
        <f>'2. StockerCloseOut'!E82</f>
        <v>1.0233918128654971</v>
      </c>
    </row>
    <row r="20" spans="2:5">
      <c r="B20" s="143" t="s">
        <v>126</v>
      </c>
      <c r="C20" s="55"/>
      <c r="D20" s="73"/>
    </row>
    <row r="21" spans="2:5">
      <c r="B21" s="143"/>
      <c r="C21" s="55"/>
      <c r="D21" s="73"/>
    </row>
    <row r="22" spans="2:5">
      <c r="B22" s="59" t="s">
        <v>87</v>
      </c>
      <c r="C22" s="1" t="s">
        <v>205</v>
      </c>
      <c r="D22" s="73">
        <f>'2. StockerCloseOut'!E77</f>
        <v>0.52631578947368418</v>
      </c>
    </row>
    <row r="23" spans="2:5">
      <c r="B23" s="57" t="s">
        <v>202</v>
      </c>
      <c r="C23" s="1" t="s">
        <v>205</v>
      </c>
      <c r="D23" s="73">
        <f>'2. StockerCloseOut'!E78</f>
        <v>0.41713450292397664</v>
      </c>
    </row>
    <row r="24" spans="2:5" ht="15.45">
      <c r="B24" s="92" t="s">
        <v>102</v>
      </c>
      <c r="C24" s="93" t="s">
        <v>205</v>
      </c>
      <c r="D24" s="112">
        <f>'2. StockerCloseOut'!E79</f>
        <v>0.94345029239766087</v>
      </c>
    </row>
    <row r="25" spans="2:5" ht="15.45">
      <c r="B25" s="59"/>
      <c r="C25" s="14"/>
      <c r="D25" s="48"/>
    </row>
    <row r="26" spans="2:5" ht="15.45">
      <c r="B26" s="234" t="s">
        <v>96</v>
      </c>
      <c r="C26" s="136"/>
      <c r="D26" s="96">
        <f>'2. StockerCloseOut'!D63</f>
        <v>143.01262626262624</v>
      </c>
      <c r="E26" s="96">
        <f>'2. StockerCloseOut'!E63</f>
        <v>1144.1010101010102</v>
      </c>
    </row>
    <row r="27" spans="2:5" ht="15.45">
      <c r="B27" s="60"/>
      <c r="C27" s="55"/>
      <c r="D27" s="73"/>
    </row>
    <row r="28" spans="2:5">
      <c r="B28" s="61" t="s">
        <v>10</v>
      </c>
      <c r="C28" s="55" t="s">
        <v>70</v>
      </c>
      <c r="D28" s="73">
        <f>'2. StockerCloseOut'!F71</f>
        <v>-152.43342516069782</v>
      </c>
    </row>
    <row r="29" spans="2:5">
      <c r="B29" s="61" t="s">
        <v>13</v>
      </c>
      <c r="C29" s="55" t="s">
        <v>70</v>
      </c>
      <c r="D29" s="11">
        <f>'2. StockerCloseOut'!F72</f>
        <v>180.04958677685951</v>
      </c>
    </row>
    <row r="30" spans="2:5" ht="15.45">
      <c r="B30" s="92" t="s">
        <v>167</v>
      </c>
      <c r="C30" s="136" t="s">
        <v>70</v>
      </c>
      <c r="D30" s="94">
        <f>'2. StockerCloseOut'!F73</f>
        <v>27.616161616161691</v>
      </c>
    </row>
    <row r="31" spans="2:5" ht="15.45">
      <c r="C31" s="14"/>
      <c r="D31" s="69"/>
    </row>
    <row r="32" spans="2:5" ht="15.45">
      <c r="B32" s="92" t="s">
        <v>72</v>
      </c>
      <c r="C32" s="108" t="s">
        <v>3</v>
      </c>
      <c r="D32" s="157">
        <f>'2. StockerCloseOut'!F67</f>
        <v>0.12353929409009977</v>
      </c>
    </row>
    <row r="33" spans="2:8">
      <c r="B33" s="2"/>
      <c r="C33" s="62"/>
    </row>
    <row r="34" spans="2:8" ht="15.45">
      <c r="B34" s="13" t="s">
        <v>92</v>
      </c>
    </row>
    <row r="35" spans="2:8">
      <c r="B35" s="2" t="s">
        <v>47</v>
      </c>
      <c r="C35" s="1" t="s">
        <v>4</v>
      </c>
      <c r="D35" s="98">
        <f>'2. StockerCloseOut'!D10</f>
        <v>450</v>
      </c>
      <c r="G35" s="222"/>
      <c r="H35" s="5"/>
    </row>
    <row r="36" spans="2:8">
      <c r="B36" s="220" t="s">
        <v>190</v>
      </c>
      <c r="C36" s="221" t="s">
        <v>194</v>
      </c>
      <c r="D36" s="159">
        <f>'2. StockerCloseOut'!E11</f>
        <v>0</v>
      </c>
      <c r="E36">
        <f>'2. StockerCloseOut'!F11</f>
        <v>0</v>
      </c>
      <c r="F36" t="s">
        <v>195</v>
      </c>
      <c r="G36" s="216" t="str">
        <f>'2. StockerCloseOut'!G11</f>
        <v xml:space="preserve"> </v>
      </c>
    </row>
    <row r="37" spans="2:8">
      <c r="B37" s="2" t="s">
        <v>73</v>
      </c>
      <c r="C37" s="1" t="s">
        <v>76</v>
      </c>
      <c r="D37" s="98">
        <f>'2. StockerCloseOut'!D12</f>
        <v>400</v>
      </c>
    </row>
    <row r="38" spans="2:8">
      <c r="B38" s="2" t="s">
        <v>81</v>
      </c>
      <c r="C38" s="55" t="s">
        <v>74</v>
      </c>
      <c r="D38" s="99">
        <f>'2. StockerCloseOut'!D13</f>
        <v>4</v>
      </c>
    </row>
    <row r="39" spans="2:8">
      <c r="B39" s="2" t="s">
        <v>82</v>
      </c>
      <c r="C39" s="1" t="s">
        <v>75</v>
      </c>
      <c r="D39" s="98">
        <f>'2. StockerCloseOut'!D14</f>
        <v>112.5</v>
      </c>
    </row>
    <row r="40" spans="2:8">
      <c r="D40" s="100"/>
    </row>
    <row r="41" spans="2:8" ht="15.45">
      <c r="B41" s="13" t="s">
        <v>71</v>
      </c>
      <c r="C41" s="14" t="s">
        <v>48</v>
      </c>
      <c r="D41" s="144">
        <f>'2. StockerCloseOut'!D16</f>
        <v>202.02020202020202</v>
      </c>
    </row>
    <row r="42" spans="2:8">
      <c r="B42" t="s">
        <v>26</v>
      </c>
      <c r="C42" s="17" t="s">
        <v>35</v>
      </c>
      <c r="D42" s="101">
        <f>'2. StockerCloseOut'!C18</f>
        <v>1.5</v>
      </c>
    </row>
    <row r="43" spans="2:8">
      <c r="B43" s="57" t="s">
        <v>38</v>
      </c>
      <c r="C43" s="55" t="s">
        <v>3</v>
      </c>
      <c r="D43" s="159">
        <f>'2. StockerCloseOut'!D18</f>
        <v>1.4999999999999999E-2</v>
      </c>
    </row>
    <row r="44" spans="2:8">
      <c r="B44" t="s">
        <v>24</v>
      </c>
      <c r="C44" s="55"/>
      <c r="D44" s="102">
        <f>'2. StockerCloseOut'!C19</f>
        <v>43905</v>
      </c>
    </row>
    <row r="45" spans="2:8">
      <c r="B45" t="s">
        <v>85</v>
      </c>
      <c r="C45" s="253" t="str">
        <f>'2. StockerCloseOut'!E19</f>
        <v>Example</v>
      </c>
      <c r="D45" s="247"/>
    </row>
    <row r="46" spans="2:8">
      <c r="B46" s="57" t="s">
        <v>40</v>
      </c>
      <c r="C46" s="62" t="s">
        <v>35</v>
      </c>
      <c r="D46" s="101">
        <f>'2. StockerCloseOut'!C20</f>
        <v>99</v>
      </c>
    </row>
    <row r="47" spans="2:8">
      <c r="B47" t="s">
        <v>29</v>
      </c>
      <c r="C47" s="62" t="s">
        <v>3</v>
      </c>
      <c r="D47" s="97">
        <f>'2. StockerCloseOut'!C21</f>
        <v>2</v>
      </c>
    </row>
    <row r="48" spans="2:8">
      <c r="B48" t="s">
        <v>44</v>
      </c>
      <c r="C48" s="62" t="s">
        <v>46</v>
      </c>
      <c r="D48" s="103">
        <f>'2. StockerCloseOut'!E21</f>
        <v>800</v>
      </c>
    </row>
    <row r="49" spans="2:9" ht="15.45">
      <c r="B49" s="106" t="s">
        <v>78</v>
      </c>
      <c r="C49" s="108" t="s">
        <v>4</v>
      </c>
      <c r="D49" s="146">
        <f>'2. StockerCloseOut'!C22</f>
        <v>85.5</v>
      </c>
    </row>
    <row r="50" spans="2:9">
      <c r="B50" t="s">
        <v>52</v>
      </c>
      <c r="C50" s="62" t="s">
        <v>46</v>
      </c>
      <c r="D50" s="104">
        <f>'2. StockerCloseOut'!E23</f>
        <v>345.45454545454544</v>
      </c>
    </row>
    <row r="51" spans="2:9" ht="15.45">
      <c r="B51" s="92" t="s">
        <v>42</v>
      </c>
      <c r="C51" s="108" t="s">
        <v>83</v>
      </c>
      <c r="D51" s="145">
        <f>'2. StockerCloseOut'!C23</f>
        <v>1.71</v>
      </c>
    </row>
    <row r="53" spans="2:9">
      <c r="C53" s="62"/>
      <c r="D53" s="77"/>
    </row>
    <row r="56" spans="2:9">
      <c r="G56" s="5" t="s">
        <v>10</v>
      </c>
      <c r="H56" s="5" t="s">
        <v>147</v>
      </c>
      <c r="I56" s="2" t="s">
        <v>206</v>
      </c>
    </row>
    <row r="57" spans="2:9">
      <c r="F57" s="162" t="s">
        <v>149</v>
      </c>
      <c r="G57" s="30">
        <f>D28</f>
        <v>-152.43342516069782</v>
      </c>
      <c r="H57" s="30">
        <f>D29</f>
        <v>180.04958677685951</v>
      </c>
      <c r="I57" s="32">
        <f>D30</f>
        <v>27.616161616161691</v>
      </c>
    </row>
    <row r="63" spans="2:9">
      <c r="E63" s="30"/>
      <c r="F63" s="34"/>
    </row>
    <row r="64" spans="2:9">
      <c r="E64" s="30"/>
      <c r="F64" s="34"/>
    </row>
    <row r="65" spans="2:6">
      <c r="E65" s="30"/>
      <c r="F65" s="34"/>
    </row>
    <row r="76" spans="2:6">
      <c r="B76" s="56"/>
    </row>
    <row r="78" spans="2:6">
      <c r="C78" s="55"/>
    </row>
    <row r="79" spans="2:6">
      <c r="C79" s="55"/>
    </row>
    <row r="80" spans="2:6">
      <c r="C80" s="55"/>
    </row>
    <row r="81" spans="3:3">
      <c r="C81" s="55"/>
    </row>
  </sheetData>
  <sheetProtection sheet="1"/>
  <mergeCells count="5">
    <mergeCell ref="C4:D4"/>
    <mergeCell ref="C5:D5"/>
    <mergeCell ref="B1:E1"/>
    <mergeCell ref="C45:D45"/>
    <mergeCell ref="C6:E6"/>
  </mergeCells>
  <phoneticPr fontId="11" type="noConversion"/>
  <pageMargins left="1" right="0.75" top="1" bottom="1" header="0.5" footer="0.5"/>
  <pageSetup scale="64" orientation="portrait" r:id="rId1"/>
  <headerFooter alignWithMargins="0"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Stocker Financial Data </vt:lpstr>
      <vt:lpstr>2. StockerCloseOut</vt:lpstr>
      <vt:lpstr>3. StockerLotSummary</vt:lpstr>
      <vt:lpstr>'1. Stocker Financial Data '!Print_Area</vt:lpstr>
      <vt:lpstr>'2. StockerCloseOut'!Print_Area</vt:lpstr>
      <vt:lpstr>'3. StockerLotSummary'!Print_Area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2019-08-19T20:15:29Z</cp:lastPrinted>
  <dcterms:created xsi:type="dcterms:W3CDTF">2008-07-17T16:45:37Z</dcterms:created>
  <dcterms:modified xsi:type="dcterms:W3CDTF">2020-07-23T13:33:16Z</dcterms:modified>
</cp:coreProperties>
</file>