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mcgra\Documents\2019 TAMU Decision Aids Additions\Update 9-5-2019\"/>
    </mc:Choice>
  </mc:AlternateContent>
  <xr:revisionPtr revIDLastSave="0" documentId="13_ncr:1_{E21F379B-BE23-4066-A965-870B23D708EF}" xr6:coauthVersionLast="44" xr6:coauthVersionMax="44" xr10:uidLastSave="{00000000-0000-0000-0000-000000000000}"/>
  <bookViews>
    <workbookView xWindow="754" yWindow="454" windowWidth="15523" windowHeight="8203" xr2:uid="{00000000-000D-0000-FFFF-FFFF00000000}"/>
  </bookViews>
  <sheets>
    <sheet name="1StockerProjectedProfitability " sheetId="1" r:id="rId1"/>
    <sheet name="2. Sensitivity Table" sheetId="4" r:id="rId2"/>
    <sheet name="3. BenchmarkReport" sheetId="5" r:id="rId3"/>
    <sheet name="4. Definitions" sheetId="3" r:id="rId4"/>
  </sheets>
  <definedNames>
    <definedName name="_xlnm.Print_Area" localSheetId="0">'1StockerProjectedProfitability '!$B$1:$G$51</definedName>
    <definedName name="_xlnm.Print_Area" localSheetId="1">'2. Sensitivity Table'!$B$2:$I$48</definedName>
    <definedName name="_xlnm.Print_Area" localSheetId="2">'3. BenchmarkReport'!$B$1:$D$50</definedName>
    <definedName name="_xlnm.Print_Area" localSheetId="3">'4. Definitions'!$B$1:$B$14</definedName>
  </definedNames>
  <calcPr calcId="181029" iterate="1" iterateCount="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9" i="1" l="1"/>
  <c r="C40" i="1" s="1"/>
  <c r="D39" i="1" s="1"/>
  <c r="F30" i="1" s="1"/>
  <c r="D9" i="1" l="1"/>
  <c r="C10" i="1" s="1"/>
  <c r="D21" i="1" l="1"/>
  <c r="D47" i="5" l="1"/>
  <c r="D17" i="5"/>
  <c r="D14" i="5"/>
  <c r="D12" i="5"/>
  <c r="D11" i="5"/>
  <c r="C2" i="5"/>
  <c r="E6" i="4" l="1"/>
  <c r="E3" i="4" l="1"/>
  <c r="E9" i="4"/>
  <c r="F12" i="1" l="1"/>
  <c r="E4" i="4" l="1"/>
  <c r="I40" i="4" l="1"/>
  <c r="E5" i="4"/>
  <c r="C11" i="1"/>
  <c r="C23" i="5"/>
  <c r="F33" i="1" l="1"/>
  <c r="D23" i="5"/>
  <c r="F4" i="1"/>
  <c r="D15" i="5" s="1"/>
  <c r="C14" i="1"/>
  <c r="C17" i="1" s="1"/>
  <c r="F14" i="1"/>
  <c r="I14" i="1"/>
  <c r="E8" i="4" s="1"/>
  <c r="F16" i="1"/>
  <c r="F26" i="1"/>
  <c r="D29" i="5" s="1"/>
  <c r="D13" i="5"/>
  <c r="D22" i="1" l="1"/>
  <c r="I37" i="1" s="1"/>
  <c r="C35" i="1"/>
  <c r="D19" i="1" s="1"/>
  <c r="D30" i="1"/>
  <c r="D17" i="1"/>
  <c r="D20" i="5" s="1"/>
  <c r="D18" i="5"/>
  <c r="D16" i="5"/>
  <c r="D15" i="1"/>
  <c r="M25" i="1"/>
  <c r="C24" i="4" s="1"/>
  <c r="D35" i="1"/>
  <c r="F18" i="1" s="1"/>
  <c r="I26" i="1" s="1"/>
  <c r="I31" i="1"/>
  <c r="E7" i="4"/>
  <c r="E10" i="4"/>
  <c r="E11" i="4" s="1"/>
  <c r="E12" i="4" s="1"/>
  <c r="D29" i="1"/>
  <c r="C23" i="1"/>
  <c r="D60" i="1" l="1"/>
  <c r="M21" i="4"/>
  <c r="M22" i="4"/>
  <c r="M23" i="4"/>
  <c r="M24" i="4"/>
  <c r="M26" i="4"/>
  <c r="M25" i="4"/>
  <c r="M27" i="4"/>
  <c r="C34" i="4"/>
  <c r="C24" i="5"/>
  <c r="C25" i="5" s="1"/>
  <c r="D28" i="1"/>
  <c r="I28" i="1" s="1"/>
  <c r="F19" i="1"/>
  <c r="D19" i="5"/>
  <c r="C29" i="5"/>
  <c r="C32" i="1" l="1"/>
  <c r="D32" i="1" s="1"/>
  <c r="F22" i="1"/>
  <c r="G14" i="4" l="1"/>
  <c r="C58" i="1"/>
  <c r="C36" i="1"/>
  <c r="D24" i="5" s="1"/>
  <c r="F36" i="1"/>
  <c r="F14" i="4"/>
  <c r="H14" i="4"/>
  <c r="G15" i="4"/>
  <c r="F48" i="1"/>
  <c r="I22" i="1"/>
  <c r="D28" i="5"/>
  <c r="F31" i="1"/>
  <c r="I14" i="4" l="1"/>
  <c r="I15" i="4" s="1"/>
  <c r="H15" i="4"/>
  <c r="K31" i="1"/>
  <c r="F45" i="1" s="1"/>
  <c r="F35" i="1"/>
  <c r="G31" i="1" s="1"/>
  <c r="F41" i="1"/>
  <c r="K41" i="1" s="1"/>
  <c r="J26" i="1"/>
  <c r="B24" i="4"/>
  <c r="E14" i="4"/>
  <c r="E15" i="4" s="1"/>
  <c r="F15" i="4"/>
  <c r="I30" i="1"/>
  <c r="J30" i="1" s="1"/>
  <c r="D30" i="5"/>
  <c r="C30" i="5" s="1"/>
  <c r="G49" i="1"/>
  <c r="D48" i="5" s="1"/>
  <c r="C28" i="5"/>
  <c r="G17" i="4"/>
  <c r="G36" i="1"/>
  <c r="K35" i="1"/>
  <c r="C45" i="1" s="1"/>
  <c r="C36" i="5" s="1"/>
  <c r="F40" i="1"/>
  <c r="F43" i="1" l="1"/>
  <c r="C43" i="1" s="1"/>
  <c r="D45" i="5" s="1"/>
  <c r="F37" i="1"/>
  <c r="C41" i="1" s="1"/>
  <c r="G30" i="1"/>
  <c r="E17" i="4"/>
  <c r="D31" i="5"/>
  <c r="B25" i="4"/>
  <c r="B23" i="4"/>
  <c r="B34" i="4"/>
  <c r="K24" i="4"/>
  <c r="E24" i="4" s="1"/>
  <c r="G20" i="1"/>
  <c r="D39" i="5"/>
  <c r="G33" i="1"/>
  <c r="C53" i="1" s="1"/>
  <c r="G35" i="1"/>
  <c r="C39" i="5" s="1"/>
  <c r="G12" i="1"/>
  <c r="G16" i="1"/>
  <c r="G26" i="1"/>
  <c r="G19" i="1"/>
  <c r="G22" i="1"/>
  <c r="H17" i="4"/>
  <c r="G37" i="1"/>
  <c r="F17" i="4"/>
  <c r="D65" i="1"/>
  <c r="D66" i="1"/>
  <c r="D42" i="5" s="1"/>
  <c r="I17" i="4"/>
  <c r="D58" i="1" l="1"/>
  <c r="D43" i="5"/>
  <c r="G43" i="1"/>
  <c r="E34" i="4"/>
  <c r="I24" i="4"/>
  <c r="I34" i="4" s="1"/>
  <c r="D41" i="5"/>
  <c r="D67" i="1"/>
  <c r="F49" i="1"/>
  <c r="D50" i="5" s="1"/>
  <c r="D59" i="1"/>
  <c r="F24" i="4"/>
  <c r="F34" i="4" s="1"/>
  <c r="D33" i="5"/>
  <c r="D34" i="5" s="1"/>
  <c r="C31" i="5"/>
  <c r="K25" i="4"/>
  <c r="L25" i="4" s="1"/>
  <c r="D25" i="4" s="1"/>
  <c r="B26" i="4"/>
  <c r="B35" i="4"/>
  <c r="L24" i="4"/>
  <c r="D24" i="4" s="1"/>
  <c r="G24" i="4"/>
  <c r="G34" i="4" s="1"/>
  <c r="H24" i="4"/>
  <c r="H34" i="4" s="1"/>
  <c r="B22" i="4"/>
  <c r="K23" i="4"/>
  <c r="G23" i="4" s="1"/>
  <c r="B33" i="4"/>
  <c r="I33" i="1"/>
  <c r="G33" i="4" l="1"/>
  <c r="E23" i="4"/>
  <c r="G25" i="4"/>
  <c r="G35" i="4" s="1"/>
  <c r="F25" i="4"/>
  <c r="F35" i="4" s="1"/>
  <c r="O25" i="4"/>
  <c r="D35" i="4"/>
  <c r="D46" i="4" s="1"/>
  <c r="D34" i="4"/>
  <c r="D45" i="4" s="1"/>
  <c r="O24" i="4"/>
  <c r="K26" i="4"/>
  <c r="L26" i="4" s="1"/>
  <c r="D26" i="4" s="1"/>
  <c r="B27" i="4"/>
  <c r="B36" i="4"/>
  <c r="F50" i="1"/>
  <c r="D49" i="5" s="1"/>
  <c r="D61" i="1"/>
  <c r="D62" i="1" s="1"/>
  <c r="D49" i="1"/>
  <c r="L23" i="4"/>
  <c r="D23" i="4" s="1"/>
  <c r="F23" i="4"/>
  <c r="F33" i="4" s="1"/>
  <c r="I23" i="4"/>
  <c r="I33" i="4" s="1"/>
  <c r="H23" i="4"/>
  <c r="H33" i="4" s="1"/>
  <c r="I25" i="4"/>
  <c r="I35" i="4" s="1"/>
  <c r="E33" i="4"/>
  <c r="B32" i="4"/>
  <c r="B21" i="4"/>
  <c r="K22" i="4"/>
  <c r="L22" i="4" s="1"/>
  <c r="D22" i="4" s="1"/>
  <c r="E25" i="4"/>
  <c r="E35" i="4" s="1"/>
  <c r="H25" i="4"/>
  <c r="H35" i="4" s="1"/>
  <c r="E26" i="4" l="1"/>
  <c r="G22" i="4"/>
  <c r="G32" i="4" s="1"/>
  <c r="G26" i="4"/>
  <c r="G36" i="4" s="1"/>
  <c r="I26" i="4"/>
  <c r="I36" i="4" s="1"/>
  <c r="I22" i="4"/>
  <c r="I32" i="4" s="1"/>
  <c r="H22" i="4"/>
  <c r="H32" i="4" s="1"/>
  <c r="H26" i="4"/>
  <c r="H36" i="4" s="1"/>
  <c r="O26" i="4"/>
  <c r="D36" i="4"/>
  <c r="D47" i="4" s="1"/>
  <c r="O22" i="4"/>
  <c r="D32" i="4"/>
  <c r="D43" i="4" s="1"/>
  <c r="E36" i="4"/>
  <c r="K27" i="4"/>
  <c r="L27" i="4" s="1"/>
  <c r="B37" i="4"/>
  <c r="D27" i="4"/>
  <c r="F27" i="4"/>
  <c r="H27" i="4"/>
  <c r="I27" i="4"/>
  <c r="I37" i="4" s="1"/>
  <c r="E27" i="4"/>
  <c r="E22" i="4"/>
  <c r="E32" i="4" s="1"/>
  <c r="B31" i="4"/>
  <c r="K21" i="4"/>
  <c r="L21" i="4" s="1"/>
  <c r="D21" i="4" s="1"/>
  <c r="D33" i="4"/>
  <c r="D44" i="4" s="1"/>
  <c r="O23" i="4"/>
  <c r="P25" i="4"/>
  <c r="F46" i="4" s="1"/>
  <c r="G46" i="4"/>
  <c r="I46" i="4" s="1"/>
  <c r="F22" i="4"/>
  <c r="F32" i="4" s="1"/>
  <c r="F26" i="4"/>
  <c r="F36" i="4" s="1"/>
  <c r="G45" i="4"/>
  <c r="I45" i="4" s="1"/>
  <c r="P24" i="4"/>
  <c r="F45" i="4" s="1"/>
  <c r="Q24" i="4"/>
  <c r="E21" i="4" l="1"/>
  <c r="I21" i="4"/>
  <c r="I31" i="4" s="1"/>
  <c r="G21" i="4"/>
  <c r="G31" i="4" s="1"/>
  <c r="F21" i="4"/>
  <c r="H21" i="4"/>
  <c r="H31" i="4" s="1"/>
  <c r="H37" i="4"/>
  <c r="G44" i="4"/>
  <c r="I44" i="4" s="1"/>
  <c r="P23" i="4"/>
  <c r="F44" i="4" s="1"/>
  <c r="O21" i="4"/>
  <c r="D31" i="4"/>
  <c r="D42" i="4" s="1"/>
  <c r="E31" i="4"/>
  <c r="F37" i="4"/>
  <c r="D37" i="4"/>
  <c r="D48" i="4" s="1"/>
  <c r="O27" i="4"/>
  <c r="G43" i="4"/>
  <c r="I43" i="4" s="1"/>
  <c r="P22" i="4"/>
  <c r="F43" i="4" s="1"/>
  <c r="F31" i="4"/>
  <c r="E37" i="4"/>
  <c r="G27" i="4"/>
  <c r="G37" i="4" s="1"/>
  <c r="P26" i="4"/>
  <c r="F47" i="4" s="1"/>
  <c r="G47" i="4"/>
  <c r="I47" i="4" s="1"/>
  <c r="P21" i="4" l="1"/>
  <c r="F42" i="4" s="1"/>
  <c r="G42" i="4"/>
  <c r="I42" i="4" s="1"/>
  <c r="P27" i="4"/>
  <c r="F48" i="4" s="1"/>
  <c r="G48" i="4"/>
  <c r="I48" i="4" s="1"/>
</calcChain>
</file>

<file path=xl/sharedStrings.xml><?xml version="1.0" encoding="utf-8"?>
<sst xmlns="http://schemas.openxmlformats.org/spreadsheetml/2006/main" count="264" uniqueCount="226">
  <si>
    <t>Check on percent of cost items.</t>
  </si>
  <si>
    <t>SUMMARY</t>
  </si>
  <si>
    <t>__________________________________________________________</t>
  </si>
  <si>
    <t>$/Head</t>
  </si>
  <si>
    <t>Freight &amp; Marketing Cost - Per Head</t>
  </si>
  <si>
    <t>Payweight Minus Death Loss</t>
  </si>
  <si>
    <t>Direct Costs</t>
  </si>
  <si>
    <t>Indirect Costs</t>
  </si>
  <si>
    <t xml:space="preserve">  Net ADG</t>
  </si>
  <si>
    <r>
      <t xml:space="preserve"> </t>
    </r>
    <r>
      <rPr>
        <b/>
        <sz val="11"/>
        <rFont val="Times New Roman"/>
        <family val="1"/>
      </rPr>
      <t xml:space="preserve">Owner Operator Labor and Management </t>
    </r>
    <r>
      <rPr>
        <sz val="11"/>
        <rFont val="Times New Roman"/>
        <family val="1"/>
      </rPr>
      <t>compensation should be included in the production cost calculation at a level equivalent to the salary required to hire a non-family member to provide an equivalent service.  Compensation in excess of this amount must be considered capital distributions in order to reconcile the retained earnings and statement of cash flows.  This makes a sole proprietors cost comparable to a corporate business’s cost calculation.  Owner manager costs need to be included in production costs. Many sole proprietor businesses have withdrawals for family living. Withdrawals beyond an equivalent to the salary would be an equity withdrawal on a production cost.</t>
    </r>
  </si>
  <si>
    <t>Include veterinary services and consultation</t>
  </si>
  <si>
    <t>Include indirect or overhead costs see the definition sheet.</t>
  </si>
  <si>
    <t xml:space="preserve"> Interest Rate</t>
  </si>
  <si>
    <t>Return on Investment - ROI</t>
  </si>
  <si>
    <r>
      <rPr>
        <b/>
        <sz val="11"/>
        <rFont val="Times New Roman"/>
        <family val="1"/>
      </rPr>
      <t xml:space="preserve"> Total Cost and Total Unit Cost (TUC) includes:</t>
    </r>
    <r>
      <rPr>
        <sz val="11"/>
        <rFont val="Times New Roman"/>
        <family val="1"/>
      </rPr>
      <t xml:space="preserve"> 1. Direct costs, 2. Indirect costs including general and administrative (G&amp;A) and management costs including owner operating management compensation and 3. Finance cost. When costs are complete TUC is consistent with the total business income statement or profit and loss (P&amp;L) statement.   </t>
    </r>
  </si>
  <si>
    <t>Marketing Cost - Commission - %</t>
  </si>
  <si>
    <t>Start Date</t>
  </si>
  <si>
    <t xml:space="preserve">     ROI</t>
  </si>
  <si>
    <t>Non-cattle cost</t>
  </si>
  <si>
    <t>Net Gain</t>
  </si>
  <si>
    <t>Profit plus Interest</t>
  </si>
  <si>
    <t>Value of Gain = ((Total Revenue-Total Cattle Cost)/Net Gain)</t>
  </si>
  <si>
    <t>Payweight and Net ADG</t>
  </si>
  <si>
    <t>Net Price</t>
  </si>
  <si>
    <t>Target Profit Per Head &amp; ROI</t>
  </si>
  <si>
    <t>Sales Value</t>
  </si>
  <si>
    <t xml:space="preserve">     Change</t>
  </si>
  <si>
    <t xml:space="preserve">          Target's ROI</t>
  </si>
  <si>
    <t>Target Change Calculations</t>
  </si>
  <si>
    <t>Target Check</t>
  </si>
  <si>
    <t>Net of Mortality Sales</t>
  </si>
  <si>
    <t xml:space="preserve">    $/Cwt.</t>
  </si>
  <si>
    <t xml:space="preserve">        $/Cwt.</t>
  </si>
  <si>
    <t>$/Cwt.</t>
  </si>
  <si>
    <t>ROI=(Profit + Interest  Cost)/Annualized Investment)</t>
  </si>
  <si>
    <t xml:space="preserve">             Cost of Gain - $/Lb.</t>
  </si>
  <si>
    <t xml:space="preserve">                   Date of Analysis</t>
  </si>
  <si>
    <t>Target Profit &amp; Price</t>
  </si>
  <si>
    <t>Total Indirect Cost - $/Hd.</t>
  </si>
  <si>
    <t>Total Added Cost - $/Hd.</t>
  </si>
  <si>
    <t>Annualized Investment - $/Head</t>
  </si>
  <si>
    <t>Total Finance Cost - $/Hd.</t>
  </si>
  <si>
    <t xml:space="preserve">       $/Head</t>
  </si>
  <si>
    <t>Health &amp;Treatment Cost/Hd.</t>
  </si>
  <si>
    <t xml:space="preserve">  $/Cwt.</t>
  </si>
  <si>
    <t xml:space="preserve">Description </t>
  </si>
  <si>
    <t>ADG Before Shrink - Gain Lbs.</t>
  </si>
  <si>
    <t>`</t>
  </si>
  <si>
    <t>Feeder Sales Value - $/Hd.</t>
  </si>
  <si>
    <t>Feeder Sale Value</t>
  </si>
  <si>
    <t xml:space="preserve">              Target's Price</t>
  </si>
  <si>
    <t xml:space="preserve"> Net Gain  - Lbs.</t>
  </si>
  <si>
    <t xml:space="preserve"> Days</t>
  </si>
  <si>
    <t xml:space="preserve">    $/Cwt.*</t>
  </si>
  <si>
    <t>Value of Gain - $/Lb.*</t>
  </si>
  <si>
    <t xml:space="preserve">*Based of net gain - gain after shrink and death </t>
  </si>
  <si>
    <t xml:space="preserve"> Increase In Cattle Value</t>
  </si>
  <si>
    <t>Total Cost of Net Gain</t>
  </si>
  <si>
    <t>Pre. Cond. Or Weaning Cost</t>
  </si>
  <si>
    <t xml:space="preserve"> Other Costs - $/Head</t>
  </si>
  <si>
    <t xml:space="preserve"> Feed &amp; Grazing Cost -$/Day</t>
  </si>
  <si>
    <t>After shrink &amp; death loss.</t>
  </si>
  <si>
    <t>Total days</t>
  </si>
  <si>
    <t xml:space="preserve"> Head Days Fed &amp; Grazed*</t>
  </si>
  <si>
    <t>Adjust for days covered by weaning or preconditioning days and costs.</t>
  </si>
  <si>
    <t>Days Preconditioned/Weaned</t>
  </si>
  <si>
    <t xml:space="preserve">     % TUC</t>
  </si>
  <si>
    <t>Days</t>
  </si>
  <si>
    <t xml:space="preserve">The Cost of the initial calf is </t>
  </si>
  <si>
    <t>of the total costs or Total Unit Cost (TUC).</t>
  </si>
  <si>
    <t>Projected Sales Date</t>
  </si>
  <si>
    <t>Preconditioning Feed - $/Head</t>
  </si>
  <si>
    <t>Includes labor and management for all activities - weaning to Stocker.</t>
  </si>
  <si>
    <t>Annualized investment is weaned calf value plus 1/2 of non-cattle cost adjusted for days in Stocker divided by 365.</t>
  </si>
  <si>
    <t>Stocker Mortality - %</t>
  </si>
  <si>
    <t xml:space="preserve">  Added Stocker Cost</t>
  </si>
  <si>
    <t>Payweight In - Lbs.</t>
  </si>
  <si>
    <t>Net Payweight Cost $/Cwt.</t>
  </si>
  <si>
    <t>Net Cost of Calf In</t>
  </si>
  <si>
    <t xml:space="preserve">Key Financial Definitions Used In Stocker Profit Evaluation* </t>
  </si>
  <si>
    <t>Payweight In</t>
  </si>
  <si>
    <t>Net Payweight In Price - $/Cwt.</t>
  </si>
  <si>
    <t>Interest Rate %</t>
  </si>
  <si>
    <t>Net Average Daily Gain Lb.</t>
  </si>
  <si>
    <t>Net Payweight Gain</t>
  </si>
  <si>
    <t xml:space="preserve">Payweight </t>
  </si>
  <si>
    <t>Gross Income - $/Hd.</t>
  </si>
  <si>
    <t>Net Income Per Head</t>
  </si>
  <si>
    <t>Value of Gain - $/Lb.</t>
  </si>
  <si>
    <t>Net Return on Investment (ROI)</t>
  </si>
  <si>
    <t>ROI is calculated before interest charge. Or net income + interest cost/ cattle cost plus 1/2 of cost of gain adjusted for time on feed.</t>
  </si>
  <si>
    <t>See definition sheet.</t>
  </si>
  <si>
    <t>Change in sales price</t>
  </si>
  <si>
    <t>Change in cost of gain</t>
  </si>
  <si>
    <t>Interest</t>
  </si>
  <si>
    <t>Cost/Day</t>
  </si>
  <si>
    <t xml:space="preserve">   Cost Per Day</t>
  </si>
  <si>
    <t>Total Days Fed and Grazed</t>
  </si>
  <si>
    <t>Net Weight Out</t>
  </si>
  <si>
    <t>Direct Cost of</t>
  </si>
  <si>
    <t>Indirect</t>
  </si>
  <si>
    <t>Cost/Hd</t>
  </si>
  <si>
    <t>Cost/of Gain</t>
  </si>
  <si>
    <t>Total Cost</t>
  </si>
  <si>
    <t>TUC/Cwt.</t>
  </si>
  <si>
    <t>$/Hd.</t>
  </si>
  <si>
    <t>TUC/Head</t>
  </si>
  <si>
    <t>% of TUC</t>
  </si>
  <si>
    <t>Cattle In Cost $/Hd.</t>
  </si>
  <si>
    <t xml:space="preserve">                Total Unit Cost (TUC)</t>
  </si>
  <si>
    <t>Table Ranges</t>
  </si>
  <si>
    <t>Market Weight - Days Grazed &amp; Fed</t>
  </si>
  <si>
    <t>Gain $/Lb.</t>
  </si>
  <si>
    <t>Net Income and ROI Based on Cattle In and Out Price and TUC of Gain</t>
  </si>
  <si>
    <t>Date of Analysis</t>
  </si>
  <si>
    <t>Production System</t>
  </si>
  <si>
    <t>Dominant Breed</t>
  </si>
  <si>
    <t>Source Market</t>
  </si>
  <si>
    <t>Prior Management</t>
  </si>
  <si>
    <t>Date Out</t>
  </si>
  <si>
    <t>Date In</t>
  </si>
  <si>
    <t>Net Payweight In</t>
  </si>
  <si>
    <t>Lb./Head</t>
  </si>
  <si>
    <t>Days Grazed &amp; Fed</t>
  </si>
  <si>
    <t>Days/Head</t>
  </si>
  <si>
    <t>%</t>
  </si>
  <si>
    <t>Shrink % on Sales</t>
  </si>
  <si>
    <t xml:space="preserve">Net Sales Payweight  </t>
  </si>
  <si>
    <t>Lb./Hd</t>
  </si>
  <si>
    <t>Net Gain Per Head Out</t>
  </si>
  <si>
    <t>Net Average Daily Gain (ADG)</t>
  </si>
  <si>
    <t>Lb./Day</t>
  </si>
  <si>
    <t>Price Roll Back</t>
  </si>
  <si>
    <t>Total Unit Cost (TUC)</t>
  </si>
  <si>
    <t>$/Lb.</t>
  </si>
  <si>
    <t>Total Cost of Gain (COG)</t>
  </si>
  <si>
    <t>$/Head Out</t>
  </si>
  <si>
    <t xml:space="preserve">Net Income </t>
  </si>
  <si>
    <t>Target's ROI</t>
  </si>
  <si>
    <t>Target Profit Per Head</t>
  </si>
  <si>
    <t>Change in Price to Reach Target</t>
  </si>
  <si>
    <t>Projected Return on Investment - ROI  %</t>
  </si>
  <si>
    <t>__________________________________________________________________</t>
  </si>
  <si>
    <t>Steers</t>
  </si>
  <si>
    <t>Payweight Purchase Price In</t>
  </si>
  <si>
    <t>Payweight Sales Price Out</t>
  </si>
  <si>
    <t>*Value of Gain = ((Total Revenue - Total Cattle Cost)/Net Gain)</t>
  </si>
  <si>
    <t>Value of Gain (VOG)</t>
  </si>
  <si>
    <r>
      <rPr>
        <b/>
        <sz val="11"/>
        <rFont val="Times New Roman"/>
        <family val="1"/>
      </rPr>
      <t xml:space="preserve">Indirect Costs or overhead </t>
    </r>
    <r>
      <rPr>
        <sz val="11"/>
        <rFont val="Times New Roman"/>
        <family val="1"/>
      </rPr>
      <t>are</t>
    </r>
    <r>
      <rPr>
        <b/>
        <sz val="11"/>
        <rFont val="Times New Roman"/>
        <family val="1"/>
      </rPr>
      <t xml:space="preserve"> </t>
    </r>
    <r>
      <rPr>
        <sz val="11"/>
        <rFont val="Times New Roman"/>
        <family val="1"/>
      </rPr>
      <t xml:space="preserve">costs that can’t be assigned directly to a production activity. Many indirect costs are fixed costs. Indirect costs continue irrespective of the level of production activities. Depreciation, repair and maintenance of vehicles, machinery and equipment, labor and management, property tax are examples of indirect costs. </t>
    </r>
    <r>
      <rPr>
        <b/>
        <sz val="11"/>
        <rFont val="Times New Roman"/>
        <family val="1"/>
      </rPr>
      <t xml:space="preserve">General and Administrative Cost (G&amp;A) are indirect </t>
    </r>
    <r>
      <rPr>
        <sz val="11"/>
        <rFont val="Times New Roman"/>
        <family val="1"/>
      </rPr>
      <t xml:space="preserve">costs that all businesses incurs to cover bookkeeping, professional fees, insurance, office supplies, computer services, phone and utility costs and business travel. Administrative cost includes the salary and payroll for support personnel. Owner operator withdrawals are indirect costs. Often ignored is management time required for retained ownership activity. Retained ownership should pay part of business indirect costs. </t>
    </r>
  </si>
  <si>
    <t>Marketing Margin</t>
  </si>
  <si>
    <t>Grazing Margin</t>
  </si>
  <si>
    <t xml:space="preserve">$/Head </t>
  </si>
  <si>
    <t>Recall interest is added back to net income the calculate ROI.</t>
  </si>
  <si>
    <t>See definitions on sheet 4.</t>
  </si>
  <si>
    <t>Economic Measures Calculated</t>
  </si>
  <si>
    <t>Production Measures Calculated</t>
  </si>
  <si>
    <t>Origin of Cattle</t>
  </si>
  <si>
    <t>Sex</t>
  </si>
  <si>
    <t>Target's Sale Price Necessary</t>
  </si>
  <si>
    <t>Payweight Net Price - $/Cwt.</t>
  </si>
  <si>
    <t>Cattle Sales Price $/Cwt.</t>
  </si>
  <si>
    <t>Market Weight</t>
  </si>
  <si>
    <t>Net Margin or Income</t>
  </si>
  <si>
    <t>Change in Profit or Net Income</t>
  </si>
  <si>
    <t xml:space="preserve">             Calculated Net Price</t>
  </si>
  <si>
    <t xml:space="preserve">     Necessary Change in Price</t>
  </si>
  <si>
    <t>__________________________________________</t>
  </si>
  <si>
    <t>Checkoff</t>
  </si>
  <si>
    <t>Commission</t>
  </si>
  <si>
    <t>Value of Gain</t>
  </si>
  <si>
    <t xml:space="preserve"> Net Gain</t>
  </si>
  <si>
    <t>Margin Summary - $/Head</t>
  </si>
  <si>
    <t>Direct Cost of Gain per Lb.</t>
  </si>
  <si>
    <r>
      <t xml:space="preserve">Total Direct </t>
    </r>
    <r>
      <rPr>
        <sz val="9"/>
        <rFont val="Arial"/>
        <family val="2"/>
      </rPr>
      <t>Costs of Gain-$/Hd.</t>
    </r>
  </si>
  <si>
    <r>
      <t>Net Payweight Sale Price-</t>
    </r>
    <r>
      <rPr>
        <sz val="8"/>
        <rFont val="Arial"/>
        <family val="2"/>
      </rPr>
      <t>$/Cwt.-Hd.</t>
    </r>
  </si>
  <si>
    <r>
      <t>Total Unit Cost</t>
    </r>
    <r>
      <rPr>
        <sz val="8"/>
        <rFont val="Arial"/>
        <family val="2"/>
      </rPr>
      <t xml:space="preserve"> </t>
    </r>
    <r>
      <rPr>
        <sz val="10"/>
        <rFont val="Arial"/>
        <family val="2"/>
      </rPr>
      <t>(TUC)</t>
    </r>
  </si>
  <si>
    <r>
      <t xml:space="preserve">Net Income Profit </t>
    </r>
    <r>
      <rPr>
        <sz val="8"/>
        <rFont val="Arial"/>
        <family val="2"/>
      </rPr>
      <t>- $/Hd. &amp; Cwt.</t>
    </r>
  </si>
  <si>
    <t>Other Costs</t>
  </si>
  <si>
    <t>Net Value of Calf In - $/Head</t>
  </si>
  <si>
    <t>Net Cost of Calf if Sold</t>
  </si>
  <si>
    <t xml:space="preserve">For Stocker/Feeder </t>
  </si>
  <si>
    <t xml:space="preserve">   Price Premium  - $/Cwt. </t>
  </si>
  <si>
    <t xml:space="preserve">   Price Premium - $/Head</t>
  </si>
  <si>
    <t>The key to profitability is the difference between  raised calf value if sild and feeder sales value. You buy a profit!</t>
  </si>
  <si>
    <t>Grazing and Feeding Cost</t>
  </si>
  <si>
    <t>Total Grazing/Feed Cost -$/Hd.</t>
  </si>
  <si>
    <t xml:space="preserve"> Total Grazing/Feed Cost-$/Hd.</t>
  </si>
  <si>
    <t>Profit - $/Head - $/Cwt.</t>
  </si>
  <si>
    <t>Sales price</t>
  </si>
  <si>
    <t xml:space="preserve">  $/Hd.</t>
  </si>
  <si>
    <r>
      <t xml:space="preserve">Record,Verification&amp;Tag </t>
    </r>
    <r>
      <rPr>
        <b/>
        <sz val="8"/>
        <rFont val="Arial"/>
        <family val="2"/>
      </rPr>
      <t>$/Hd.</t>
    </r>
  </si>
  <si>
    <t>Gross Commodity Cattle Sales Price</t>
  </si>
  <si>
    <t>Stocker/Feeder Sale</t>
  </si>
  <si>
    <t>If Program Cattle Price Adjustment</t>
  </si>
  <si>
    <t xml:space="preserve">Other Purchase Cost- $/Hd. </t>
  </si>
  <si>
    <t xml:space="preserve">     $/Head</t>
  </si>
  <si>
    <t>Stocker/Feeder Mortality - %</t>
  </si>
  <si>
    <t xml:space="preserve">Purchased Unweaned Calf </t>
  </si>
  <si>
    <t>Cost of Gain</t>
  </si>
  <si>
    <t xml:space="preserve">Direct </t>
  </si>
  <si>
    <t xml:space="preserve">Finance </t>
  </si>
  <si>
    <r>
      <rPr>
        <b/>
        <sz val="11"/>
        <rFont val="Times New Roman"/>
        <family val="1"/>
      </rPr>
      <t>Total Unit Cost (TUC) or breakeven cost</t>
    </r>
    <r>
      <rPr>
        <sz val="11"/>
        <rFont val="Times New Roman"/>
        <family val="1"/>
      </rPr>
      <t xml:space="preserve"> is a cost component divided by the amount of saleable product.  The costs included must be defined before a breakeven can provide useful information to a decision maker.  A breakeven that does not cover full cost is very misleading.  Feedyards never calculate a “full cost” cattle owner's breakeven.  It is a feedyard direct cost  breakeven.  Producers must add to direct costs full cost of the stocker/feeder  business’s general and administrative (G &amp; A) and finance costs. They must have TUC to measure a true profitability. Having G&amp;A and actual interest cost will mean the stocker/feeder calf profitability and TUC is consistent with the total business income statement or profit and loss (P&amp;L) statement. If a business that only breakeven it will fail. Equity will not grow. All projections need to report conditions for a profit margin above TUC to insure profitable options are chosen.</t>
    </r>
  </si>
  <si>
    <r>
      <rPr>
        <b/>
        <sz val="11"/>
        <rFont val="Times New Roman"/>
        <family val="1"/>
      </rPr>
      <t>Annualized Return on Investment (ROI)</t>
    </r>
    <r>
      <rPr>
        <sz val="11"/>
        <rFont val="Times New Roman"/>
        <family val="1"/>
      </rPr>
      <t xml:space="preserve"> is the net income plus cash interest paid divided by annualized capital investment requirement to support the cattle activity. The reason interest is added back is interest paid represents a return the debt capital. ROI is a return to capital invested irrespective of capital ownership. Capital is adjusted for the time cattle are on feed. Investment required is estimated by taking one half of the investment is non-cattle costs plus the total payweight cost of the cattle times days on feed divided by 365 days. A low ROI is due to high initial calf net sales value or opportunity cost relative to stocker sales value adjusted for price weight slide and premium paid.</t>
    </r>
  </si>
  <si>
    <r>
      <rPr>
        <b/>
        <sz val="11"/>
        <rFont val="Times New Roman"/>
        <family val="1"/>
      </rPr>
      <t>Profitability</t>
    </r>
    <r>
      <rPr>
        <sz val="11"/>
        <rFont val="Times New Roman"/>
        <family val="1"/>
      </rPr>
      <t xml:space="preserve"> is the ability of the ranch production and marketing activity to generate income in excess of </t>
    </r>
    <r>
      <rPr>
        <b/>
        <sz val="11"/>
        <rFont val="Times New Roman"/>
        <family val="1"/>
      </rPr>
      <t>total unit costs (TUC)</t>
    </r>
    <r>
      <rPr>
        <sz val="11"/>
        <rFont val="Times New Roman"/>
        <family val="1"/>
      </rPr>
      <t>.  Profit is the net to equity capital. A profitable business has equity growth reported in the income statement as net ranch accrual income and balance sheet equity as retained earnings and change in equity.</t>
    </r>
  </si>
  <si>
    <r>
      <t>Direct Expenses</t>
    </r>
    <r>
      <rPr>
        <sz val="11"/>
        <rFont val="Times New Roman"/>
        <family val="1"/>
      </rPr>
      <t xml:space="preserve"> are expense items that are directly related to production activity such as grazing, feed, facilities, health, treatment and veterinary services, and cattle cost.</t>
    </r>
  </si>
  <si>
    <t>Purchased Calf or Stocker Projection Benchmarks</t>
  </si>
  <si>
    <t>Percent Death or Culling Loss</t>
  </si>
  <si>
    <t>Projected Profitability of Purchased Calves or Stockers</t>
  </si>
  <si>
    <t>Sent to Feedyard or Sold</t>
  </si>
  <si>
    <t>Transfer Price $/Cwt.</t>
  </si>
  <si>
    <t>Shrink When Stocker Transferred - %</t>
  </si>
  <si>
    <t>TX</t>
  </si>
  <si>
    <t>Unweaned</t>
  </si>
  <si>
    <t>Angus</t>
  </si>
  <si>
    <t>Direct</t>
  </si>
  <si>
    <t>Sold</t>
  </si>
  <si>
    <t xml:space="preserve">Wheat and Improved Pasture </t>
  </si>
  <si>
    <t>Unweaned purchased calves retained as stockers</t>
  </si>
  <si>
    <t>Feeding &amp; Grazing Margin</t>
  </si>
  <si>
    <t>or Feed&amp;Grazing Cost of Gain $/Lb.</t>
  </si>
  <si>
    <t>Calculated $/Day  or</t>
  </si>
  <si>
    <t>Other Costs $/Head In</t>
  </si>
  <si>
    <t>Version 9/5/2019</t>
  </si>
  <si>
    <t>Sold as feeder</t>
  </si>
  <si>
    <t>Finance Cost - % Financed</t>
  </si>
  <si>
    <t>Percent Financed % &amp; Dol.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</si>
</sst>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0%"/>
    <numFmt numFmtId="166" formatCode="&quot;$&quot;#,##0.00"/>
    <numFmt numFmtId="167" formatCode="_(&quot;$&quot;* #,##0_);_(&quot;$&quot;* \(#,##0\);_(&quot;$&quot;* &quot;-&quot;??_);_(@_)"/>
    <numFmt numFmtId="168" formatCode="[$$-409]#,##0.00_);[Red]\([$$-409]#,##0.00\)"/>
    <numFmt numFmtId="169" formatCode="&quot;$&quot;#,##0"/>
    <numFmt numFmtId="170" formatCode="[$$-409]#,##0_);[Red]\([$$-409]#,##0\)"/>
    <numFmt numFmtId="171" formatCode="&quot;$&quot;#,##0.000"/>
    <numFmt numFmtId="172" formatCode="&quot;$&quot;#,##0.0000"/>
    <numFmt numFmtId="173" formatCode="[$$-409]#,##0.000_);[Red]\([$$-409]#,##0.000\)"/>
    <numFmt numFmtId="174" formatCode="[$-409]d\-mmm\-yy;@"/>
    <numFmt numFmtId="175" formatCode="&quot;$&quot;#,##0.000_);[Red]\(&quot;$&quot;#,##0.000\)"/>
    <numFmt numFmtId="176" formatCode="[$$-409]#,##0.0000_);[Red]\([$$-409]#,##0.0000\)"/>
    <numFmt numFmtId="177" formatCode="_(* #,##0_);_(* \(#,##0\);_(* &quot;-&quot;??_);_(@_)"/>
    <numFmt numFmtId="178" formatCode="0.0_)"/>
    <numFmt numFmtId="179" formatCode="[$$-409]#,##0.00"/>
    <numFmt numFmtId="180" formatCode="&quot;$&quot;#,##0.00000"/>
  </numFmts>
  <fonts count="27" x14ac:knownFonts="1">
    <font>
      <sz val="10"/>
      <name val="Arial"/>
    </font>
    <font>
      <b/>
      <sz val="12"/>
      <name val="Arial"/>
      <family val="2"/>
    </font>
    <font>
      <sz val="10"/>
      <name val="Arial"/>
      <family val="2"/>
    </font>
    <font>
      <b/>
      <sz val="10"/>
      <name val="Arial"/>
      <family val="2"/>
    </font>
    <font>
      <sz val="9"/>
      <name val="Arial"/>
      <family val="2"/>
    </font>
    <font>
      <sz val="11"/>
      <name val="Arial"/>
      <family val="2"/>
    </font>
    <font>
      <sz val="10"/>
      <color rgb="FF0000FF"/>
      <name val="Arial"/>
      <family val="2"/>
    </font>
    <font>
      <sz val="12"/>
      <name val="Arial"/>
      <family val="2"/>
    </font>
    <font>
      <b/>
      <sz val="11"/>
      <name val="Arial"/>
      <family val="2"/>
    </font>
    <font>
      <b/>
      <sz val="11"/>
      <name val="Times New Roman"/>
      <family val="1"/>
    </font>
    <font>
      <sz val="11"/>
      <name val="Times New Roman"/>
      <family val="1"/>
    </font>
    <font>
      <b/>
      <sz val="14"/>
      <name val="Arial"/>
      <family val="2"/>
    </font>
    <font>
      <sz val="12"/>
      <color rgb="FF2D07B9"/>
      <name val="Arial"/>
      <family val="2"/>
    </font>
    <font>
      <sz val="12"/>
      <color rgb="FF0000FF"/>
      <name val="Arial"/>
      <family val="2"/>
    </font>
    <font>
      <sz val="10"/>
      <color rgb="FFFF0000"/>
      <name val="Arial"/>
      <family val="2"/>
    </font>
    <font>
      <b/>
      <sz val="12"/>
      <name val="Arial"/>
      <family val="2"/>
    </font>
    <font>
      <sz val="10"/>
      <name val="Arial"/>
    </font>
    <font>
      <sz val="10"/>
      <name val="Arial"/>
      <family val="2"/>
    </font>
    <font>
      <b/>
      <sz val="10"/>
      <name val="Arial"/>
      <family val="2"/>
    </font>
    <font>
      <b/>
      <sz val="10"/>
      <color rgb="FF0000FF"/>
      <name val="Arial"/>
      <family val="2"/>
    </font>
    <font>
      <sz val="10"/>
      <color rgb="FF0000FF"/>
      <name val="Arial"/>
      <family val="2"/>
    </font>
    <font>
      <b/>
      <sz val="11"/>
      <name val="Arial"/>
      <family val="2"/>
    </font>
    <font>
      <sz val="11"/>
      <name val="Arial"/>
      <family val="2"/>
    </font>
    <font>
      <b/>
      <sz val="8"/>
      <name val="Arial"/>
      <family val="2"/>
    </font>
    <font>
      <b/>
      <sz val="10"/>
      <color indexed="12"/>
      <name val="Arial"/>
      <family val="2"/>
    </font>
    <font>
      <sz val="8"/>
      <name val="Arial"/>
      <family val="2"/>
    </font>
    <font>
      <sz val="9"/>
      <name val="Arial"/>
      <family val="2"/>
    </font>
  </fonts>
  <fills count="3">
    <fill>
      <patternFill patternType="none"/>
    </fill>
    <fill>
      <patternFill patternType="gray125"/>
    </fill>
    <fill>
      <patternFill patternType="solid">
        <fgColor rgb="FFCCFFCC"/>
        <bgColor indexed="64"/>
      </patternFill>
    </fill>
  </fills>
  <borders count="9">
    <border>
      <left/>
      <right/>
      <top/>
      <bottom/>
      <diagonal/>
    </border>
    <border>
      <left/>
      <right/>
      <top/>
      <bottom style="double">
        <color indexed="64"/>
      </bottom>
      <diagonal/>
    </border>
    <border>
      <left/>
      <right/>
      <top style="double">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ck">
        <color auto="1"/>
      </top>
      <bottom/>
      <diagonal/>
    </border>
    <border>
      <left/>
      <right/>
      <top/>
      <bottom style="thick">
        <color auto="1"/>
      </bottom>
      <diagonal/>
    </border>
  </borders>
  <cellStyleXfs count="8">
    <xf numFmtId="0" fontId="0" fillId="0" borderId="0"/>
    <xf numFmtId="44" fontId="2" fillId="0" borderId="0" applyFont="0" applyFill="0" applyBorder="0" applyAlignment="0" applyProtection="0"/>
    <xf numFmtId="9" fontId="2" fillId="0" borderId="0" applyFont="0" applyFill="0" applyBorder="0" applyAlignment="0" applyProtection="0"/>
    <xf numFmtId="0" fontId="7" fillId="0" borderId="0"/>
    <xf numFmtId="43"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2" fillId="0" borderId="0"/>
  </cellStyleXfs>
  <cellXfs count="213">
    <xf numFmtId="0" fontId="0" fillId="0" borderId="0" xfId="0"/>
    <xf numFmtId="0" fontId="1" fillId="0" borderId="0" xfId="0" applyFont="1"/>
    <xf numFmtId="0" fontId="2" fillId="0" borderId="0" xfId="0" applyFont="1"/>
    <xf numFmtId="0" fontId="3" fillId="0" borderId="0" xfId="0" applyFont="1"/>
    <xf numFmtId="164" fontId="0" fillId="0" borderId="0" xfId="0" applyNumberFormat="1"/>
    <xf numFmtId="165" fontId="3" fillId="0" borderId="0" xfId="2" applyNumberFormat="1" applyFont="1"/>
    <xf numFmtId="168" fontId="0" fillId="0" borderId="0" xfId="0" applyNumberFormat="1"/>
    <xf numFmtId="166" fontId="3" fillId="0" borderId="0" xfId="0" applyNumberFormat="1" applyFont="1"/>
    <xf numFmtId="169" fontId="0" fillId="0" borderId="0" xfId="0" applyNumberFormat="1"/>
    <xf numFmtId="166" fontId="0" fillId="0" borderId="0" xfId="0" applyNumberFormat="1"/>
    <xf numFmtId="166" fontId="2" fillId="0" borderId="0" xfId="0" applyNumberFormat="1" applyFont="1"/>
    <xf numFmtId="0" fontId="3" fillId="0" borderId="0" xfId="0" applyFont="1" applyAlignment="1">
      <alignment horizontal="right"/>
    </xf>
    <xf numFmtId="0" fontId="10" fillId="0" borderId="0" xfId="3" applyFont="1" applyAlignment="1">
      <alignment vertical="center"/>
    </xf>
    <xf numFmtId="0" fontId="9" fillId="0" borderId="0" xfId="3" applyFont="1" applyAlignment="1">
      <alignment horizontal="justify" vertical="center"/>
    </xf>
    <xf numFmtId="0" fontId="10" fillId="0" borderId="0" xfId="3" quotePrefix="1" applyFont="1" applyAlignment="1">
      <alignment horizontal="justify" vertical="center"/>
    </xf>
    <xf numFmtId="0" fontId="10" fillId="0" borderId="0" xfId="3" applyFont="1" applyAlignment="1">
      <alignment horizontal="left" vertical="center" wrapText="1"/>
    </xf>
    <xf numFmtId="0" fontId="8" fillId="0" borderId="0" xfId="3" applyFont="1" applyAlignment="1">
      <alignment horizontal="center"/>
    </xf>
    <xf numFmtId="0" fontId="10" fillId="0" borderId="0" xfId="3" applyFont="1"/>
    <xf numFmtId="0" fontId="9" fillId="0" borderId="0" xfId="3" applyFont="1" applyAlignment="1">
      <alignment horizontal="left" vertical="center" wrapText="1"/>
    </xf>
    <xf numFmtId="169" fontId="3" fillId="0" borderId="0" xfId="0" applyNumberFormat="1" applyFont="1"/>
    <xf numFmtId="9" fontId="0" fillId="0" borderId="0" xfId="2" applyFont="1"/>
    <xf numFmtId="171" fontId="2" fillId="0" borderId="0" xfId="0" applyNumberFormat="1" applyFont="1"/>
    <xf numFmtId="1" fontId="0" fillId="0" borderId="0" xfId="0" applyNumberFormat="1"/>
    <xf numFmtId="8" fontId="3" fillId="0" borderId="0" xfId="0" applyNumberFormat="1" applyFont="1"/>
    <xf numFmtId="0" fontId="10" fillId="0" borderId="0" xfId="3" applyFont="1" applyAlignment="1">
      <alignment horizontal="justify" vertical="center"/>
    </xf>
    <xf numFmtId="0" fontId="5" fillId="0" borderId="0" xfId="0" applyFont="1"/>
    <xf numFmtId="166" fontId="6" fillId="0" borderId="0" xfId="0" applyNumberFormat="1" applyFont="1" applyProtection="1">
      <protection locked="0"/>
    </xf>
    <xf numFmtId="6" fontId="3" fillId="0" borderId="0" xfId="0" applyNumberFormat="1" applyFont="1"/>
    <xf numFmtId="1" fontId="2" fillId="0" borderId="0" xfId="0" applyNumberFormat="1" applyFont="1"/>
    <xf numFmtId="2" fontId="0" fillId="0" borderId="0" xfId="0" applyNumberFormat="1"/>
    <xf numFmtId="165" fontId="0" fillId="0" borderId="0" xfId="2" applyNumberFormat="1" applyFont="1"/>
    <xf numFmtId="165" fontId="2" fillId="0" borderId="0" xfId="2" applyNumberFormat="1"/>
    <xf numFmtId="0" fontId="3" fillId="0" borderId="0" xfId="0" applyFont="1" applyAlignment="1">
      <alignment horizontal="center"/>
    </xf>
    <xf numFmtId="8" fontId="2" fillId="0" borderId="0" xfId="0" applyNumberFormat="1" applyFont="1"/>
    <xf numFmtId="164" fontId="2" fillId="0" borderId="0" xfId="0" applyNumberFormat="1" applyFont="1"/>
    <xf numFmtId="2" fontId="2" fillId="0" borderId="0" xfId="0" applyNumberFormat="1" applyFont="1"/>
    <xf numFmtId="0" fontId="2" fillId="0" borderId="0" xfId="0" applyFont="1" applyAlignment="1">
      <alignment horizontal="right"/>
    </xf>
    <xf numFmtId="0" fontId="0" fillId="0" borderId="0" xfId="0" applyAlignment="1">
      <alignment horizontal="right"/>
    </xf>
    <xf numFmtId="8" fontId="0" fillId="0" borderId="0" xfId="0" applyNumberFormat="1"/>
    <xf numFmtId="10" fontId="2" fillId="0" borderId="0" xfId="2" applyNumberFormat="1"/>
    <xf numFmtId="9" fontId="3" fillId="0" borderId="0" xfId="2" applyFont="1"/>
    <xf numFmtId="169" fontId="3" fillId="0" borderId="0" xfId="0" applyNumberFormat="1" applyFont="1" applyAlignment="1">
      <alignment horizontal="center"/>
    </xf>
    <xf numFmtId="0" fontId="1" fillId="0" borderId="0" xfId="0" applyFont="1" applyAlignment="1">
      <alignment horizontal="center"/>
    </xf>
    <xf numFmtId="0" fontId="0" fillId="0" borderId="0" xfId="0" applyAlignment="1">
      <alignment horizontal="center"/>
    </xf>
    <xf numFmtId="0" fontId="11" fillId="0" borderId="0" xfId="0" applyFont="1" applyAlignment="1">
      <alignment horizontal="center"/>
    </xf>
    <xf numFmtId="0" fontId="7" fillId="0" borderId="0" xfId="7" applyFont="1"/>
    <xf numFmtId="0" fontId="12" fillId="0" borderId="0" xfId="0" applyFont="1" applyProtection="1">
      <protection locked="0"/>
    </xf>
    <xf numFmtId="0" fontId="7" fillId="0" borderId="0" xfId="7" applyFont="1" applyAlignment="1">
      <alignment horizontal="center"/>
    </xf>
    <xf numFmtId="177" fontId="7" fillId="0" borderId="0" xfId="4" applyNumberFormat="1" applyProtection="1">
      <protection locked="0"/>
    </xf>
    <xf numFmtId="0" fontId="7" fillId="0" borderId="0" xfId="0" applyFont="1"/>
    <xf numFmtId="174" fontId="7" fillId="0" borderId="0" xfId="0" applyNumberFormat="1" applyFont="1"/>
    <xf numFmtId="9" fontId="12" fillId="0" borderId="0" xfId="6" applyFont="1" applyProtection="1">
      <protection locked="0"/>
    </xf>
    <xf numFmtId="3" fontId="7" fillId="0" borderId="0" xfId="0" applyNumberFormat="1" applyFont="1" applyAlignment="1" applyProtection="1">
      <alignment horizontal="right"/>
      <protection locked="0"/>
    </xf>
    <xf numFmtId="0" fontId="7" fillId="0" borderId="0" xfId="0" applyFont="1" applyAlignment="1">
      <alignment horizontal="center"/>
    </xf>
    <xf numFmtId="3" fontId="7" fillId="0" borderId="0" xfId="0" applyNumberFormat="1" applyFont="1"/>
    <xf numFmtId="177" fontId="7" fillId="0" borderId="0" xfId="4" applyNumberFormat="1"/>
    <xf numFmtId="178" fontId="7" fillId="0" borderId="0" xfId="0" applyNumberFormat="1" applyFont="1"/>
    <xf numFmtId="177" fontId="7" fillId="0" borderId="0" xfId="0" applyNumberFormat="1" applyFont="1"/>
    <xf numFmtId="0" fontId="1" fillId="0" borderId="0" xfId="7" applyFont="1"/>
    <xf numFmtId="0" fontId="1" fillId="0" borderId="0" xfId="7" applyFont="1" applyAlignment="1">
      <alignment horizontal="center"/>
    </xf>
    <xf numFmtId="2" fontId="1" fillId="0" borderId="0" xfId="0" applyNumberFormat="1" applyFont="1"/>
    <xf numFmtId="8" fontId="7" fillId="0" borderId="0" xfId="0" applyNumberFormat="1" applyFont="1"/>
    <xf numFmtId="7" fontId="0" fillId="0" borderId="0" xfId="0" applyNumberFormat="1"/>
    <xf numFmtId="179" fontId="7" fillId="0" borderId="0" xfId="4" applyNumberFormat="1" applyProtection="1">
      <protection locked="0"/>
    </xf>
    <xf numFmtId="8" fontId="1" fillId="0" borderId="0" xfId="0" applyNumberFormat="1" applyFont="1"/>
    <xf numFmtId="7" fontId="1" fillId="0" borderId="0" xfId="0" applyNumberFormat="1" applyFont="1"/>
    <xf numFmtId="5" fontId="1" fillId="0" borderId="0" xfId="0" applyNumberFormat="1" applyFont="1"/>
    <xf numFmtId="7" fontId="7" fillId="0" borderId="0" xfId="0" applyNumberFormat="1" applyFont="1"/>
    <xf numFmtId="168" fontId="1" fillId="0" borderId="0" xfId="0" applyNumberFormat="1" applyFont="1"/>
    <xf numFmtId="165" fontId="1" fillId="0" borderId="0" xfId="0" applyNumberFormat="1" applyFont="1"/>
    <xf numFmtId="0" fontId="7" fillId="0" borderId="0" xfId="0" applyFont="1" applyAlignment="1">
      <alignment horizontal="right"/>
    </xf>
    <xf numFmtId="179" fontId="0" fillId="0" borderId="0" xfId="0" applyNumberFormat="1"/>
    <xf numFmtId="174" fontId="13" fillId="0" borderId="0" xfId="0" applyNumberFormat="1" applyFont="1" applyProtection="1">
      <protection locked="0"/>
    </xf>
    <xf numFmtId="0" fontId="13" fillId="0" borderId="0" xfId="0" applyFont="1" applyProtection="1">
      <protection locked="0"/>
    </xf>
    <xf numFmtId="0" fontId="7" fillId="0" borderId="0" xfId="0" applyFont="1" applyAlignment="1">
      <alignment horizontal="left"/>
    </xf>
    <xf numFmtId="165" fontId="1" fillId="0" borderId="0" xfId="2" applyNumberFormat="1" applyFont="1" applyAlignment="1">
      <alignment horizontal="left"/>
    </xf>
    <xf numFmtId="164" fontId="7" fillId="0" borderId="0" xfId="2" applyNumberFormat="1" applyFont="1"/>
    <xf numFmtId="164" fontId="2" fillId="0" borderId="0" xfId="2" applyNumberFormat="1"/>
    <xf numFmtId="0" fontId="14" fillId="0" borderId="0" xfId="0" applyFont="1"/>
    <xf numFmtId="180" fontId="0" fillId="0" borderId="0" xfId="0" applyNumberFormat="1"/>
    <xf numFmtId="166" fontId="3" fillId="0" borderId="3" xfId="0" applyNumberFormat="1" applyFont="1" applyBorder="1"/>
    <xf numFmtId="0" fontId="1" fillId="2" borderId="0" xfId="7" applyFont="1" applyFill="1"/>
    <xf numFmtId="168" fontId="1" fillId="2" borderId="0" xfId="0" applyNumberFormat="1" applyFont="1" applyFill="1"/>
    <xf numFmtId="0" fontId="17" fillId="0" borderId="0" xfId="0" applyFont="1"/>
    <xf numFmtId="0" fontId="16" fillId="0" borderId="0" xfId="0" applyFont="1"/>
    <xf numFmtId="0" fontId="18" fillId="0" borderId="0" xfId="0" applyFont="1" applyAlignment="1">
      <alignment horizontal="center"/>
    </xf>
    <xf numFmtId="174" fontId="19" fillId="0" borderId="3" xfId="0" applyNumberFormat="1" applyFont="1" applyBorder="1" applyProtection="1">
      <protection locked="0"/>
    </xf>
    <xf numFmtId="0" fontId="16" fillId="0" borderId="0" xfId="0" applyFont="1" applyAlignment="1">
      <alignment horizontal="center"/>
    </xf>
    <xf numFmtId="0" fontId="18" fillId="0" borderId="0" xfId="0" applyFont="1"/>
    <xf numFmtId="0" fontId="21" fillId="0" borderId="0" xfId="0" applyFont="1" applyAlignment="1" applyProtection="1">
      <alignment horizontal="right"/>
      <protection locked="0"/>
    </xf>
    <xf numFmtId="174" fontId="21" fillId="0" borderId="0" xfId="0" applyNumberFormat="1" applyFont="1" applyAlignment="1">
      <alignment horizontal="left"/>
    </xf>
    <xf numFmtId="0" fontId="22" fillId="0" borderId="0" xfId="0" applyFont="1" applyAlignment="1">
      <alignment horizontal="left"/>
    </xf>
    <xf numFmtId="0" fontId="15" fillId="0" borderId="0" xfId="0" applyFont="1"/>
    <xf numFmtId="0" fontId="23" fillId="0" borderId="0" xfId="0" applyFont="1"/>
    <xf numFmtId="0" fontId="24" fillId="0" borderId="0" xfId="0" applyFont="1" applyProtection="1">
      <protection locked="0"/>
    </xf>
    <xf numFmtId="166" fontId="24" fillId="0" borderId="0" xfId="1" applyNumberFormat="1" applyFont="1" applyProtection="1">
      <protection locked="0"/>
    </xf>
    <xf numFmtId="0" fontId="16" fillId="0" borderId="0" xfId="0" applyFont="1" applyAlignment="1">
      <alignment horizontal="right"/>
    </xf>
    <xf numFmtId="0" fontId="20" fillId="0" borderId="0" xfId="0" applyFont="1" applyProtection="1">
      <protection locked="0"/>
    </xf>
    <xf numFmtId="168" fontId="24" fillId="0" borderId="0" xfId="1" applyNumberFormat="1" applyFont="1" applyProtection="1">
      <protection locked="0"/>
    </xf>
    <xf numFmtId="166" fontId="16" fillId="0" borderId="0" xfId="0" applyNumberFormat="1" applyFont="1" applyAlignment="1">
      <alignment horizontal="right"/>
    </xf>
    <xf numFmtId="166" fontId="18" fillId="0" borderId="0" xfId="0" applyNumberFormat="1" applyFont="1"/>
    <xf numFmtId="165" fontId="18" fillId="0" borderId="0" xfId="2" applyNumberFormat="1" applyFont="1"/>
    <xf numFmtId="1" fontId="16" fillId="0" borderId="0" xfId="0" applyNumberFormat="1" applyFont="1"/>
    <xf numFmtId="1" fontId="18" fillId="0" borderId="0" xfId="0" applyNumberFormat="1" applyFont="1"/>
    <xf numFmtId="0" fontId="17" fillId="0" borderId="0" xfId="0" applyFont="1" applyAlignment="1">
      <alignment horizontal="right"/>
    </xf>
    <xf numFmtId="170" fontId="18" fillId="0" borderId="0" xfId="1" applyNumberFormat="1" applyFont="1"/>
    <xf numFmtId="39" fontId="24" fillId="0" borderId="0" xfId="1" applyNumberFormat="1" applyFont="1" applyProtection="1">
      <protection locked="0"/>
    </xf>
    <xf numFmtId="164" fontId="24" fillId="0" borderId="0" xfId="2" applyNumberFormat="1" applyFont="1" applyProtection="1">
      <protection locked="0"/>
    </xf>
    <xf numFmtId="1" fontId="18" fillId="0" borderId="0" xfId="1" applyNumberFormat="1" applyFont="1"/>
    <xf numFmtId="2" fontId="18" fillId="0" borderId="0" xfId="0" applyNumberFormat="1" applyFont="1" applyAlignment="1">
      <alignment horizontal="right"/>
    </xf>
    <xf numFmtId="168" fontId="18" fillId="0" borderId="0" xfId="0" applyNumberFormat="1" applyFont="1"/>
    <xf numFmtId="166" fontId="24" fillId="0" borderId="3" xfId="1" applyNumberFormat="1" applyFont="1" applyBorder="1" applyProtection="1">
      <protection locked="0"/>
    </xf>
    <xf numFmtId="169" fontId="17" fillId="0" borderId="0" xfId="0" applyNumberFormat="1" applyFont="1" applyAlignment="1">
      <alignment horizontal="right"/>
    </xf>
    <xf numFmtId="170" fontId="18" fillId="0" borderId="0" xfId="0" applyNumberFormat="1" applyFont="1"/>
    <xf numFmtId="171" fontId="21" fillId="0" borderId="0" xfId="0" applyNumberFormat="1" applyFont="1"/>
    <xf numFmtId="166" fontId="18" fillId="0" borderId="0" xfId="1" applyNumberFormat="1" applyFont="1"/>
    <xf numFmtId="171" fontId="16" fillId="0" borderId="0" xfId="0" applyNumberFormat="1" applyFont="1"/>
    <xf numFmtId="168" fontId="16" fillId="0" borderId="0" xfId="0" applyNumberFormat="1" applyFont="1"/>
    <xf numFmtId="166" fontId="16" fillId="0" borderId="0" xfId="0" applyNumberFormat="1" applyFont="1"/>
    <xf numFmtId="2" fontId="24" fillId="0" borderId="0" xfId="2" applyNumberFormat="1" applyFont="1" applyProtection="1">
      <protection locked="0"/>
    </xf>
    <xf numFmtId="171" fontId="18" fillId="0" borderId="0" xfId="0" applyNumberFormat="1" applyFont="1"/>
    <xf numFmtId="164" fontId="16" fillId="0" borderId="0" xfId="0" applyNumberFormat="1" applyFont="1"/>
    <xf numFmtId="176" fontId="18" fillId="0" borderId="0" xfId="0" applyNumberFormat="1" applyFont="1"/>
    <xf numFmtId="0" fontId="18" fillId="2" borderId="0" xfId="0" applyFont="1" applyFill="1"/>
    <xf numFmtId="166" fontId="18" fillId="2" borderId="0" xfId="0" applyNumberFormat="1" applyFont="1" applyFill="1"/>
    <xf numFmtId="169" fontId="18" fillId="2" borderId="0" xfId="0" applyNumberFormat="1" applyFont="1" applyFill="1" applyAlignment="1">
      <alignment horizontal="right"/>
    </xf>
    <xf numFmtId="168" fontId="18" fillId="0" borderId="2" xfId="0" applyNumberFormat="1" applyFont="1" applyBorder="1"/>
    <xf numFmtId="44" fontId="16" fillId="0" borderId="0" xfId="0" applyNumberFormat="1" applyFont="1"/>
    <xf numFmtId="9" fontId="16" fillId="0" borderId="0" xfId="0" applyNumberFormat="1" applyFont="1"/>
    <xf numFmtId="170" fontId="16" fillId="0" borderId="0" xfId="0" applyNumberFormat="1" applyFont="1"/>
    <xf numFmtId="10" fontId="16" fillId="0" borderId="0" xfId="0" applyNumberFormat="1" applyFont="1"/>
    <xf numFmtId="164" fontId="18" fillId="0" borderId="0" xfId="0" applyNumberFormat="1" applyFont="1"/>
    <xf numFmtId="164" fontId="18" fillId="0" borderId="0" xfId="0" applyNumberFormat="1" applyFont="1" applyAlignment="1">
      <alignment horizontal="right"/>
    </xf>
    <xf numFmtId="169" fontId="18" fillId="0" borderId="0" xfId="0" applyNumberFormat="1" applyFont="1"/>
    <xf numFmtId="166" fontId="18" fillId="0" borderId="2" xfId="0" applyNumberFormat="1" applyFont="1" applyBorder="1"/>
    <xf numFmtId="170" fontId="17" fillId="0" borderId="1" xfId="0" applyNumberFormat="1" applyFont="1" applyBorder="1"/>
    <xf numFmtId="169" fontId="18" fillId="0" borderId="0" xfId="2" applyNumberFormat="1" applyFont="1" applyAlignment="1">
      <alignment horizontal="right"/>
    </xf>
    <xf numFmtId="0" fontId="22" fillId="0" borderId="0" xfId="0" applyFont="1"/>
    <xf numFmtId="170" fontId="22" fillId="0" borderId="0" xfId="0" applyNumberFormat="1" applyFont="1"/>
    <xf numFmtId="168" fontId="16" fillId="0" borderId="0" xfId="0" applyNumberFormat="1" applyFont="1" applyAlignment="1">
      <alignment horizontal="right"/>
    </xf>
    <xf numFmtId="168" fontId="17" fillId="0" borderId="0" xfId="0" applyNumberFormat="1" applyFont="1"/>
    <xf numFmtId="165" fontId="18" fillId="2" borderId="0" xfId="2" applyNumberFormat="1" applyFont="1" applyFill="1" applyAlignment="1">
      <alignment horizontal="right"/>
    </xf>
    <xf numFmtId="168" fontId="18" fillId="2" borderId="0" xfId="0" applyNumberFormat="1" applyFont="1" applyFill="1"/>
    <xf numFmtId="165" fontId="18" fillId="0" borderId="0" xfId="2" applyNumberFormat="1" applyFont="1" applyAlignment="1">
      <alignment horizontal="right"/>
    </xf>
    <xf numFmtId="0" fontId="18" fillId="0" borderId="0" xfId="0" applyFont="1" applyAlignment="1">
      <alignment horizontal="right"/>
    </xf>
    <xf numFmtId="166" fontId="18" fillId="0" borderId="0" xfId="2" applyNumberFormat="1" applyFont="1" applyAlignment="1">
      <alignment horizontal="right"/>
    </xf>
    <xf numFmtId="173" fontId="18" fillId="0" borderId="0" xfId="0" applyNumberFormat="1" applyFont="1"/>
    <xf numFmtId="0" fontId="23" fillId="0" borderId="8" xfId="0" applyFont="1" applyBorder="1"/>
    <xf numFmtId="165" fontId="18" fillId="0" borderId="8" xfId="2" applyNumberFormat="1" applyFont="1" applyBorder="1"/>
    <xf numFmtId="0" fontId="18" fillId="0" borderId="8" xfId="0" applyFont="1" applyBorder="1"/>
    <xf numFmtId="164" fontId="18" fillId="0" borderId="8" xfId="0" applyNumberFormat="1" applyFont="1" applyBorder="1"/>
    <xf numFmtId="0" fontId="18" fillId="0" borderId="8" xfId="0" quotePrefix="1" applyFont="1" applyBorder="1"/>
    <xf numFmtId="165" fontId="18" fillId="0" borderId="0" xfId="2" applyNumberFormat="1" applyFont="1" applyAlignment="1">
      <alignment horizontal="center"/>
    </xf>
    <xf numFmtId="166" fontId="24" fillId="0" borderId="0" xfId="2" applyNumberFormat="1" applyFont="1" applyProtection="1">
      <protection locked="0"/>
    </xf>
    <xf numFmtId="166" fontId="17" fillId="0" borderId="0" xfId="0" applyNumberFormat="1" applyFont="1"/>
    <xf numFmtId="8" fontId="18" fillId="0" borderId="0" xfId="0" applyNumberFormat="1" applyFont="1"/>
    <xf numFmtId="9" fontId="18" fillId="0" borderId="0" xfId="2" applyFont="1"/>
    <xf numFmtId="9" fontId="16" fillId="0" borderId="0" xfId="2" applyFont="1"/>
    <xf numFmtId="171" fontId="17" fillId="0" borderId="0" xfId="0" applyNumberFormat="1" applyFont="1"/>
    <xf numFmtId="0" fontId="18" fillId="2" borderId="0" xfId="0" applyFont="1" applyFill="1" applyAlignment="1">
      <alignment horizontal="left"/>
    </xf>
    <xf numFmtId="8" fontId="18" fillId="2" borderId="0" xfId="0" applyNumberFormat="1" applyFont="1" applyFill="1"/>
    <xf numFmtId="0" fontId="18" fillId="0" borderId="0" xfId="0" quotePrefix="1" applyFont="1"/>
    <xf numFmtId="0" fontId="18" fillId="0" borderId="7" xfId="0" applyFont="1" applyBorder="1"/>
    <xf numFmtId="167" fontId="18" fillId="0" borderId="0" xfId="0" applyNumberFormat="1" applyFont="1"/>
    <xf numFmtId="10" fontId="18" fillId="0" borderId="0" xfId="0" applyNumberFormat="1" applyFont="1"/>
    <xf numFmtId="175" fontId="16" fillId="0" borderId="0" xfId="0" applyNumberFormat="1" applyFont="1"/>
    <xf numFmtId="172" fontId="18" fillId="0" borderId="0" xfId="0" applyNumberFormat="1" applyFont="1"/>
    <xf numFmtId="0" fontId="26" fillId="0" borderId="0" xfId="0" applyFont="1"/>
    <xf numFmtId="169" fontId="16" fillId="0" borderId="0" xfId="0" applyNumberFormat="1" applyFont="1"/>
    <xf numFmtId="8" fontId="16" fillId="0" borderId="0" xfId="0" applyNumberFormat="1" applyFont="1"/>
    <xf numFmtId="0" fontId="3" fillId="0" borderId="0" xfId="0" applyFont="1" applyProtection="1">
      <protection locked="0"/>
    </xf>
    <xf numFmtId="15" fontId="7" fillId="0" borderId="0" xfId="0" applyNumberFormat="1" applyFont="1"/>
    <xf numFmtId="0" fontId="19" fillId="0" borderId="0" xfId="0" applyFont="1" applyAlignment="1" applyProtection="1">
      <alignment horizontal="left"/>
      <protection locked="0"/>
    </xf>
    <xf numFmtId="0" fontId="2" fillId="0" borderId="0" xfId="0" applyFont="1" applyProtection="1">
      <protection locked="0"/>
    </xf>
    <xf numFmtId="168" fontId="16" fillId="0" borderId="1" xfId="0" applyNumberFormat="1" applyFont="1" applyBorder="1"/>
    <xf numFmtId="168" fontId="3" fillId="0" borderId="0" xfId="0" applyNumberFormat="1" applyFont="1"/>
    <xf numFmtId="0" fontId="1" fillId="0" borderId="0" xfId="0" applyFont="1" applyAlignment="1">
      <alignment horizontal="center"/>
    </xf>
    <xf numFmtId="0" fontId="1" fillId="0" borderId="0" xfId="0" applyFont="1"/>
    <xf numFmtId="0" fontId="0" fillId="0" borderId="0" xfId="0"/>
    <xf numFmtId="0" fontId="1" fillId="0" borderId="0" xfId="0" applyFont="1" applyAlignment="1">
      <alignment horizontal="center"/>
    </xf>
    <xf numFmtId="0" fontId="0" fillId="0" borderId="0" xfId="0"/>
    <xf numFmtId="179" fontId="7" fillId="0" borderId="0" xfId="0" applyNumberFormat="1" applyFont="1"/>
    <xf numFmtId="179" fontId="1" fillId="2" borderId="0" xfId="0" applyNumberFormat="1" applyFont="1" applyFill="1"/>
    <xf numFmtId="0" fontId="0" fillId="0" borderId="0" xfId="0"/>
    <xf numFmtId="166" fontId="1" fillId="0" borderId="0" xfId="0" applyNumberFormat="1" applyFont="1"/>
    <xf numFmtId="9" fontId="1" fillId="0" borderId="0" xfId="0" applyNumberFormat="1" applyFont="1"/>
    <xf numFmtId="0" fontId="1" fillId="2" borderId="0" xfId="0" applyFont="1" applyFill="1"/>
    <xf numFmtId="7" fontId="1" fillId="2" borderId="0" xfId="0" applyNumberFormat="1" applyFont="1" applyFill="1"/>
    <xf numFmtId="0" fontId="0" fillId="2" borderId="0" xfId="0" applyFill="1"/>
    <xf numFmtId="0" fontId="19" fillId="0" borderId="3" xfId="0" applyFont="1" applyBorder="1" applyProtection="1">
      <protection locked="0"/>
    </xf>
    <xf numFmtId="0" fontId="6" fillId="0" borderId="0" xfId="0" applyFont="1" applyProtection="1">
      <protection locked="0"/>
    </xf>
    <xf numFmtId="1" fontId="19" fillId="0" borderId="3" xfId="0" applyNumberFormat="1" applyFont="1" applyBorder="1" applyAlignment="1" applyProtection="1">
      <alignment horizontal="right"/>
      <protection locked="0"/>
    </xf>
    <xf numFmtId="1" fontId="3" fillId="0" borderId="0" xfId="0" applyNumberFormat="1" applyFont="1" applyProtection="1"/>
    <xf numFmtId="0" fontId="19" fillId="0" borderId="4" xfId="0" applyFont="1" applyBorder="1" applyAlignment="1" applyProtection="1">
      <alignment horizontal="left"/>
      <protection locked="0"/>
    </xf>
    <xf numFmtId="0" fontId="17" fillId="0" borderId="5" xfId="0" applyFont="1" applyBorder="1"/>
    <xf numFmtId="0" fontId="17" fillId="0" borderId="6" xfId="0" applyFont="1" applyBorder="1"/>
    <xf numFmtId="0" fontId="1" fillId="0" borderId="0" xfId="0" applyFont="1" applyAlignment="1">
      <alignment horizontal="center"/>
    </xf>
    <xf numFmtId="0" fontId="16" fillId="0" borderId="0" xfId="0" applyFont="1" applyAlignment="1">
      <alignment horizontal="center"/>
    </xf>
    <xf numFmtId="165" fontId="18" fillId="0" borderId="0" xfId="2" applyNumberFormat="1" applyFont="1" applyAlignment="1">
      <alignment horizontal="center"/>
    </xf>
    <xf numFmtId="0" fontId="17" fillId="0" borderId="0" xfId="0" applyFont="1"/>
    <xf numFmtId="165" fontId="21" fillId="0" borderId="0" xfId="2" applyNumberFormat="1" applyFont="1" applyAlignment="1">
      <alignment horizontal="left"/>
    </xf>
    <xf numFmtId="0" fontId="22" fillId="0" borderId="0" xfId="0" applyFont="1" applyAlignment="1">
      <alignment horizontal="left"/>
    </xf>
    <xf numFmtId="0" fontId="6" fillId="0" borderId="4" xfId="0" applyFont="1" applyBorder="1" applyAlignment="1" applyProtection="1">
      <alignment horizontal="left"/>
      <protection locked="0"/>
    </xf>
    <xf numFmtId="0" fontId="20" fillId="0" borderId="5" xfId="0" applyFont="1" applyBorder="1" applyAlignment="1" applyProtection="1">
      <alignment horizontal="left"/>
      <protection locked="0"/>
    </xf>
    <xf numFmtId="0" fontId="20" fillId="0" borderId="6" xfId="0" applyFont="1" applyBorder="1" applyAlignment="1" applyProtection="1">
      <alignment horizontal="left"/>
      <protection locked="0"/>
    </xf>
    <xf numFmtId="0" fontId="3" fillId="0" borderId="0" xfId="0" applyFont="1" applyAlignment="1">
      <alignment horizontal="center"/>
    </xf>
    <xf numFmtId="0" fontId="0" fillId="0" borderId="0" xfId="0" applyAlignment="1">
      <alignment horizontal="center"/>
    </xf>
    <xf numFmtId="0" fontId="1" fillId="0" borderId="0" xfId="0" applyFont="1"/>
    <xf numFmtId="0" fontId="0" fillId="0" borderId="0" xfId="0"/>
    <xf numFmtId="0" fontId="11" fillId="0" borderId="0" xfId="0" applyFont="1" applyAlignment="1">
      <alignment horizontal="center"/>
    </xf>
    <xf numFmtId="174" fontId="13" fillId="0" borderId="0" xfId="0" applyNumberFormat="1" applyFont="1" applyAlignment="1" applyProtection="1">
      <protection locked="0"/>
    </xf>
    <xf numFmtId="0" fontId="6" fillId="0" borderId="0" xfId="0" applyFont="1" applyAlignment="1" applyProtection="1">
      <protection locked="0"/>
    </xf>
    <xf numFmtId="0" fontId="0" fillId="0" borderId="0" xfId="0" applyAlignment="1"/>
  </cellXfs>
  <cellStyles count="8">
    <cellStyle name="Comma 2" xfId="4" xr:uid="{00000000-0005-0000-0000-000000000000}"/>
    <cellStyle name="Currency" xfId="1" builtinId="4"/>
    <cellStyle name="Currency 2" xfId="5" xr:uid="{00000000-0005-0000-0000-000002000000}"/>
    <cellStyle name="Normal" xfId="0" builtinId="0"/>
    <cellStyle name="Normal 2" xfId="3" xr:uid="{00000000-0005-0000-0000-000004000000}"/>
    <cellStyle name="Normal_Sheet1" xfId="7" xr:uid="{00000000-0005-0000-0000-000005000000}"/>
    <cellStyle name="Percent" xfId="2" builtinId="5"/>
    <cellStyle name="Percent 2" xfId="6" xr:uid="{00000000-0005-0000-0000-000007000000}"/>
  </cellStyles>
  <dxfs count="0"/>
  <tableStyles count="0" defaultTableStyle="TableStyleMedium2" defaultPivotStyle="PivotStyleLight16"/>
  <colors>
    <mruColors>
      <color rgb="FF0000FF"/>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179615</xdr:colOff>
      <xdr:row>0</xdr:row>
      <xdr:rowOff>119743</xdr:rowOff>
    </xdr:from>
    <xdr:to>
      <xdr:col>11</xdr:col>
      <xdr:colOff>261257</xdr:colOff>
      <xdr:row>3</xdr:row>
      <xdr:rowOff>65314</xdr:rowOff>
    </xdr:to>
    <xdr:pic>
      <xdr:nvPicPr>
        <xdr:cNvPr id="2" name="Picture 1" descr="TAMAgEXT">
          <a:extLst>
            <a:ext uri="{FF2B5EF4-FFF2-40B4-BE49-F238E27FC236}">
              <a16:creationId xmlns:a16="http://schemas.microsoft.com/office/drawing/2014/main" id="{42B0FADD-6706-49AD-8111-EF93424256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3029" y="119743"/>
          <a:ext cx="192677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67"/>
  <sheetViews>
    <sheetView tabSelected="1" topLeftCell="A8" zoomScaleNormal="100" workbookViewId="0">
      <selection activeCell="F29" sqref="F29"/>
    </sheetView>
  </sheetViews>
  <sheetFormatPr defaultColWidth="8.69140625" defaultRowHeight="12.45" x14ac:dyDescent="0.3"/>
  <cols>
    <col min="1" max="1" width="3.4609375" style="84" customWidth="1"/>
    <col min="2" max="2" width="30.69140625" style="84" customWidth="1"/>
    <col min="3" max="3" width="9.4609375" style="84" customWidth="1"/>
    <col min="4" max="4" width="9.765625" style="84" customWidth="1"/>
    <col min="5" max="5" width="28.3828125" style="84" customWidth="1"/>
    <col min="6" max="6" width="11.3046875" style="84" customWidth="1"/>
    <col min="7" max="7" width="8.84375" style="84" customWidth="1"/>
    <col min="8" max="8" width="7.23046875" style="84" customWidth="1"/>
    <col min="9" max="12" width="8.69140625" style="84"/>
    <col min="13" max="13" width="10.23046875" style="84" customWidth="1"/>
    <col min="14" max="16384" width="8.69140625" style="84"/>
  </cols>
  <sheetData>
    <row r="1" spans="2:12" ht="15.45" x14ac:dyDescent="0.4">
      <c r="B1" s="196" t="s">
        <v>207</v>
      </c>
      <c r="C1" s="197"/>
      <c r="D1" s="197"/>
      <c r="E1" s="197"/>
      <c r="F1" s="197"/>
      <c r="G1" s="197"/>
      <c r="H1" s="83" t="s">
        <v>47</v>
      </c>
    </row>
    <row r="2" spans="2:12" x14ac:dyDescent="0.3">
      <c r="B2" s="85" t="s">
        <v>36</v>
      </c>
      <c r="C2" s="86">
        <v>43713</v>
      </c>
      <c r="D2" s="87"/>
      <c r="E2" s="87"/>
      <c r="F2" s="87"/>
      <c r="G2" s="87"/>
    </row>
    <row r="3" spans="2:12" x14ac:dyDescent="0.3">
      <c r="B3" s="88" t="s">
        <v>45</v>
      </c>
      <c r="C3" s="202" t="s">
        <v>217</v>
      </c>
      <c r="D3" s="203"/>
      <c r="E3" s="203"/>
      <c r="F3" s="204"/>
      <c r="G3" s="87"/>
    </row>
    <row r="4" spans="2:12" ht="14.15" x14ac:dyDescent="0.35">
      <c r="B4" s="89" t="s">
        <v>16</v>
      </c>
      <c r="C4" s="86">
        <v>43753</v>
      </c>
      <c r="E4" s="89" t="s">
        <v>70</v>
      </c>
      <c r="F4" s="90">
        <f>D14+C4</f>
        <v>43923</v>
      </c>
      <c r="G4" s="91"/>
    </row>
    <row r="5" spans="2:12" ht="8.0500000000000007" customHeight="1" x14ac:dyDescent="0.4">
      <c r="B5" s="92"/>
      <c r="D5" s="88"/>
      <c r="G5" s="93"/>
    </row>
    <row r="6" spans="2:12" ht="15.55" customHeight="1" x14ac:dyDescent="0.3">
      <c r="B6" s="189" t="s">
        <v>197</v>
      </c>
      <c r="D6" s="88"/>
      <c r="G6" s="93"/>
      <c r="J6" s="3" t="s">
        <v>222</v>
      </c>
    </row>
    <row r="7" spans="2:12" ht="15.55" customHeight="1" x14ac:dyDescent="0.3">
      <c r="B7" s="83" t="s">
        <v>76</v>
      </c>
      <c r="C7" s="94">
        <v>500</v>
      </c>
      <c r="D7" s="88"/>
      <c r="E7" s="84" t="s">
        <v>65</v>
      </c>
      <c r="F7" s="94">
        <v>45</v>
      </c>
      <c r="G7" s="83" t="s">
        <v>67</v>
      </c>
    </row>
    <row r="8" spans="2:12" x14ac:dyDescent="0.3">
      <c r="B8" s="83" t="s">
        <v>77</v>
      </c>
      <c r="C8" s="95">
        <v>140</v>
      </c>
      <c r="D8" s="96" t="s">
        <v>31</v>
      </c>
      <c r="E8" s="88" t="s">
        <v>6</v>
      </c>
      <c r="G8" s="88" t="s">
        <v>66</v>
      </c>
    </row>
    <row r="9" spans="2:12" x14ac:dyDescent="0.3">
      <c r="B9" s="2" t="s">
        <v>194</v>
      </c>
      <c r="C9" s="95">
        <v>14</v>
      </c>
      <c r="D9" s="99">
        <f>(C9/$C$7)*100</f>
        <v>2.8000000000000003</v>
      </c>
      <c r="E9" s="97" t="s">
        <v>71</v>
      </c>
      <c r="F9" s="98">
        <v>45</v>
      </c>
    </row>
    <row r="10" spans="2:12" x14ac:dyDescent="0.3">
      <c r="B10" s="83" t="s">
        <v>159</v>
      </c>
      <c r="C10" s="100">
        <f>(C8+D9)</f>
        <v>142.80000000000001</v>
      </c>
      <c r="D10" s="96"/>
      <c r="E10" s="97" t="s">
        <v>43</v>
      </c>
      <c r="F10" s="98">
        <v>15</v>
      </c>
      <c r="I10" s="193" t="s">
        <v>223</v>
      </c>
      <c r="J10" s="194"/>
      <c r="K10" s="194"/>
      <c r="L10" s="195"/>
    </row>
    <row r="11" spans="2:12" x14ac:dyDescent="0.3">
      <c r="B11" s="3" t="s">
        <v>178</v>
      </c>
      <c r="C11" s="100">
        <f>C10*C7*0.01</f>
        <v>714</v>
      </c>
      <c r="D11" s="96"/>
      <c r="E11" s="97" t="s">
        <v>177</v>
      </c>
      <c r="F11" s="98">
        <v>0</v>
      </c>
      <c r="I11" s="172"/>
      <c r="J11" s="83"/>
      <c r="K11" s="83"/>
      <c r="L11" s="83"/>
    </row>
    <row r="12" spans="2:12" x14ac:dyDescent="0.3">
      <c r="B12" s="2"/>
      <c r="C12" s="95"/>
      <c r="D12" s="99"/>
      <c r="E12" s="88" t="s">
        <v>58</v>
      </c>
      <c r="F12" s="100">
        <f>SUM(F9:F11)</f>
        <v>60</v>
      </c>
      <c r="G12" s="101">
        <f>F12/$F$35</f>
        <v>6.0267380744323425E-2</v>
      </c>
      <c r="I12" s="84" t="s">
        <v>10</v>
      </c>
    </row>
    <row r="13" spans="2:12" x14ac:dyDescent="0.3">
      <c r="B13" s="3" t="s">
        <v>192</v>
      </c>
      <c r="D13" s="104" t="s">
        <v>52</v>
      </c>
      <c r="E13" s="173" t="s">
        <v>184</v>
      </c>
    </row>
    <row r="14" spans="2:12" x14ac:dyDescent="0.3">
      <c r="B14" s="83" t="s">
        <v>111</v>
      </c>
      <c r="C14" s="192">
        <f>D14*C15+C7</f>
        <v>840</v>
      </c>
      <c r="D14" s="191">
        <v>170</v>
      </c>
      <c r="E14" s="84" t="s">
        <v>63</v>
      </c>
      <c r="F14" s="103">
        <f>D14-F7</f>
        <v>125</v>
      </c>
      <c r="G14" s="101"/>
      <c r="I14" s="102">
        <f>D14</f>
        <v>170</v>
      </c>
      <c r="J14" s="83" t="s">
        <v>62</v>
      </c>
    </row>
    <row r="15" spans="2:12" x14ac:dyDescent="0.3">
      <c r="B15" s="83" t="s">
        <v>46</v>
      </c>
      <c r="C15" s="106">
        <v>2</v>
      </c>
      <c r="D15" s="96">
        <f>(C14-C7)</f>
        <v>340</v>
      </c>
      <c r="E15" s="83" t="s">
        <v>60</v>
      </c>
      <c r="F15" s="98">
        <v>0</v>
      </c>
      <c r="I15" s="83" t="s">
        <v>64</v>
      </c>
    </row>
    <row r="16" spans="2:12" x14ac:dyDescent="0.3">
      <c r="B16" s="2" t="s">
        <v>210</v>
      </c>
      <c r="C16" s="107">
        <v>3</v>
      </c>
      <c r="D16" s="104" t="s">
        <v>8</v>
      </c>
      <c r="E16" s="2" t="s">
        <v>186</v>
      </c>
      <c r="F16" s="105">
        <f>F14*F15</f>
        <v>0</v>
      </c>
      <c r="G16" s="101">
        <f>F16/$F$35</f>
        <v>0</v>
      </c>
    </row>
    <row r="17" spans="2:13" x14ac:dyDescent="0.3">
      <c r="B17" s="83" t="s">
        <v>22</v>
      </c>
      <c r="C17" s="102">
        <f>C14*(1-C16*0.01)</f>
        <v>814.8</v>
      </c>
      <c r="D17" s="109">
        <f>((C17-C7)/D14)</f>
        <v>1.8517647058823528</v>
      </c>
      <c r="E17" s="2" t="s">
        <v>219</v>
      </c>
      <c r="F17" s="98">
        <v>0.55000000000000004</v>
      </c>
      <c r="I17" s="83"/>
    </row>
    <row r="18" spans="2:13" x14ac:dyDescent="0.3">
      <c r="D18" s="2" t="s">
        <v>195</v>
      </c>
      <c r="E18" s="83" t="s">
        <v>51</v>
      </c>
      <c r="F18" s="108">
        <f>D35</f>
        <v>302.57799999999997</v>
      </c>
      <c r="I18" s="83" t="s">
        <v>61</v>
      </c>
    </row>
    <row r="19" spans="2:13" x14ac:dyDescent="0.3">
      <c r="B19" s="2" t="s">
        <v>191</v>
      </c>
      <c r="C19" s="111">
        <v>132</v>
      </c>
      <c r="D19" s="112">
        <f>C19*$C$35*0.01</f>
        <v>1059.4029600000001</v>
      </c>
      <c r="E19" s="3" t="s">
        <v>185</v>
      </c>
      <c r="F19" s="110">
        <f>F16+F17*F18</f>
        <v>166.4179</v>
      </c>
      <c r="G19" s="101">
        <f>F19/$F$35</f>
        <v>0.16715951569951237</v>
      </c>
    </row>
    <row r="20" spans="2:13" x14ac:dyDescent="0.3">
      <c r="B20" s="2" t="s">
        <v>193</v>
      </c>
      <c r="D20" s="96" t="s">
        <v>31</v>
      </c>
      <c r="E20" s="170" t="s">
        <v>190</v>
      </c>
      <c r="F20" s="98">
        <v>0</v>
      </c>
      <c r="G20" s="101">
        <f>F20/$F$35</f>
        <v>0</v>
      </c>
    </row>
    <row r="21" spans="2:13" x14ac:dyDescent="0.3">
      <c r="B21" s="2" t="s">
        <v>181</v>
      </c>
      <c r="C21" s="95">
        <v>0</v>
      </c>
      <c r="D21" s="99">
        <f>C21</f>
        <v>0</v>
      </c>
      <c r="E21" s="97" t="s">
        <v>59</v>
      </c>
      <c r="F21" s="98">
        <v>0</v>
      </c>
      <c r="G21" s="31"/>
      <c r="I21" s="88" t="s">
        <v>172</v>
      </c>
    </row>
    <row r="22" spans="2:13" ht="14.15" x14ac:dyDescent="0.35">
      <c r="B22" s="2" t="s">
        <v>182</v>
      </c>
      <c r="C22" s="95">
        <v>0</v>
      </c>
      <c r="D22" s="99">
        <f>C22/$C$17*100</f>
        <v>0</v>
      </c>
      <c r="E22" s="88" t="s">
        <v>173</v>
      </c>
      <c r="F22" s="113">
        <f>F21+F20+F19+F16+F12</f>
        <v>226.4179</v>
      </c>
      <c r="G22" s="101">
        <f>F22/$F$35</f>
        <v>0.22742689644383579</v>
      </c>
      <c r="I22" s="114">
        <f>F22/$F$18</f>
        <v>0.74829597657463542</v>
      </c>
    </row>
    <row r="23" spans="2:13" x14ac:dyDescent="0.3">
      <c r="B23" s="88" t="s">
        <v>160</v>
      </c>
      <c r="C23" s="115">
        <f>(C19+C21-($C17-$C7)*$C22*0.01)</f>
        <v>132</v>
      </c>
      <c r="D23" s="104"/>
      <c r="E23" s="88" t="s">
        <v>7</v>
      </c>
    </row>
    <row r="24" spans="2:13" x14ac:dyDescent="0.3">
      <c r="E24" s="173" t="s">
        <v>220</v>
      </c>
      <c r="F24" s="98">
        <v>0.25</v>
      </c>
      <c r="I24" s="83" t="s">
        <v>11</v>
      </c>
    </row>
    <row r="25" spans="2:13" x14ac:dyDescent="0.3">
      <c r="E25" s="190" t="s">
        <v>221</v>
      </c>
      <c r="F25" s="98">
        <v>0</v>
      </c>
      <c r="I25" s="83" t="s">
        <v>72</v>
      </c>
      <c r="M25" s="117">
        <f>F26/D14</f>
        <v>0.25</v>
      </c>
    </row>
    <row r="26" spans="2:13" ht="14.15" x14ac:dyDescent="0.35">
      <c r="E26" s="88" t="s">
        <v>38</v>
      </c>
      <c r="F26" s="110">
        <f>(F24*D14)+F25</f>
        <v>42.5</v>
      </c>
      <c r="G26" s="101">
        <f>F26/$F$35</f>
        <v>4.2689394693895759E-2</v>
      </c>
      <c r="I26" s="114">
        <f>F26/$F$18</f>
        <v>0.14045965007370001</v>
      </c>
      <c r="J26" s="116">
        <f>I22+I26</f>
        <v>0.88875562664833541</v>
      </c>
      <c r="K26" s="84" t="s">
        <v>96</v>
      </c>
    </row>
    <row r="27" spans="2:13" x14ac:dyDescent="0.3">
      <c r="D27" s="104" t="s">
        <v>44</v>
      </c>
    </row>
    <row r="28" spans="2:13" x14ac:dyDescent="0.3">
      <c r="B28" s="83" t="s">
        <v>15</v>
      </c>
      <c r="C28" s="119">
        <v>2</v>
      </c>
      <c r="D28" s="99">
        <f>(C28*0.01*C23)</f>
        <v>2.64</v>
      </c>
      <c r="E28" s="3" t="s">
        <v>224</v>
      </c>
      <c r="F28" s="107">
        <v>80</v>
      </c>
      <c r="G28" s="3" t="s">
        <v>125</v>
      </c>
      <c r="I28" s="118">
        <f>D28*C17*0.01</f>
        <v>21.510720000000003</v>
      </c>
      <c r="J28" s="83" t="s">
        <v>168</v>
      </c>
    </row>
    <row r="29" spans="2:13" x14ac:dyDescent="0.3">
      <c r="B29" s="83" t="s">
        <v>167</v>
      </c>
      <c r="C29" s="95">
        <v>1</v>
      </c>
      <c r="D29" s="99">
        <f>C29/C17*100</f>
        <v>0.12272950417280314</v>
      </c>
      <c r="E29" s="83" t="s">
        <v>12</v>
      </c>
      <c r="F29" s="107">
        <v>5</v>
      </c>
      <c r="G29" s="3" t="s">
        <v>125</v>
      </c>
      <c r="I29" s="83" t="s">
        <v>73</v>
      </c>
    </row>
    <row r="30" spans="2:13" ht="14.6" thickBot="1" x14ac:dyDescent="0.4">
      <c r="B30" s="83" t="s">
        <v>4</v>
      </c>
      <c r="C30" s="95">
        <v>0</v>
      </c>
      <c r="D30" s="99">
        <f>C30/$C$17*100</f>
        <v>0</v>
      </c>
      <c r="E30" s="88" t="s">
        <v>41</v>
      </c>
      <c r="F30" s="100">
        <f>D39*F29*0.01</f>
        <v>12.64552517260274</v>
      </c>
      <c r="G30" s="101">
        <f>F30/$F$35</f>
        <v>1.2701878004819592E-2</v>
      </c>
      <c r="I30" s="114">
        <f>F30/$F$18</f>
        <v>4.1792612723339902E-2</v>
      </c>
      <c r="J30" s="120">
        <f>I22+I26+I30</f>
        <v>0.9305482393716753</v>
      </c>
      <c r="K30" s="83" t="s">
        <v>57</v>
      </c>
    </row>
    <row r="31" spans="2:13" ht="12.9" thickTop="1" x14ac:dyDescent="0.3">
      <c r="C31" s="11" t="s">
        <v>44</v>
      </c>
      <c r="D31" s="11" t="s">
        <v>189</v>
      </c>
      <c r="E31" s="88" t="s">
        <v>39</v>
      </c>
      <c r="F31" s="126">
        <f>F22+F26+F30</f>
        <v>281.56342517260276</v>
      </c>
      <c r="G31" s="101">
        <f>F31/$F$35</f>
        <v>0.28281816914255115</v>
      </c>
      <c r="H31" s="127"/>
      <c r="I31" s="121">
        <f>C35-C7</f>
        <v>302.57799999999997</v>
      </c>
      <c r="J31" s="83" t="s">
        <v>19</v>
      </c>
      <c r="K31" s="122">
        <f>F31/I31</f>
        <v>0.93054823937167541</v>
      </c>
    </row>
    <row r="32" spans="2:13" x14ac:dyDescent="0.3">
      <c r="B32" s="123" t="s">
        <v>174</v>
      </c>
      <c r="C32" s="124">
        <f>C23-D28-D30</f>
        <v>129.36000000000001</v>
      </c>
      <c r="D32" s="125">
        <f>C32*C17*0.01</f>
        <v>1054.0252800000001</v>
      </c>
      <c r="F32" s="113" t="s">
        <v>42</v>
      </c>
      <c r="H32" s="127"/>
      <c r="J32" s="83" t="s">
        <v>0</v>
      </c>
    </row>
    <row r="33" spans="2:12" x14ac:dyDescent="0.3">
      <c r="E33" s="3" t="s">
        <v>179</v>
      </c>
      <c r="F33" s="113">
        <f>C11</f>
        <v>714</v>
      </c>
      <c r="G33" s="101">
        <f>F33/$F$35</f>
        <v>0.7171818308574488</v>
      </c>
      <c r="H33" s="127"/>
      <c r="I33" s="128">
        <f>G31+G33</f>
        <v>1</v>
      </c>
      <c r="K33" s="83" t="s">
        <v>21</v>
      </c>
    </row>
    <row r="34" spans="2:12" x14ac:dyDescent="0.3">
      <c r="B34" s="2" t="s">
        <v>196</v>
      </c>
      <c r="C34" s="119">
        <v>1.5</v>
      </c>
      <c r="D34" s="83" t="s">
        <v>170</v>
      </c>
      <c r="E34" s="83"/>
      <c r="F34" s="129"/>
      <c r="G34" s="110" t="s">
        <v>53</v>
      </c>
      <c r="H34" s="127"/>
      <c r="I34" s="130"/>
      <c r="K34" s="83"/>
    </row>
    <row r="35" spans="2:12" ht="12.9" thickBot="1" x14ac:dyDescent="0.35">
      <c r="B35" s="83" t="s">
        <v>5</v>
      </c>
      <c r="C35" s="131">
        <f>(1-($C$34*0.01))*$C$17</f>
        <v>802.57799999999997</v>
      </c>
      <c r="D35" s="132">
        <f>C35-C7</f>
        <v>302.57799999999997</v>
      </c>
      <c r="E35" s="88" t="s">
        <v>175</v>
      </c>
      <c r="F35" s="133">
        <f>F31+F33</f>
        <v>995.56342517260282</v>
      </c>
      <c r="G35" s="175">
        <f>F35/$D$60*100</f>
        <v>124.04569090762554</v>
      </c>
      <c r="H35" s="127"/>
      <c r="K35" s="122">
        <f>((F36-F33)/I31)</f>
        <v>1.0715085062364089</v>
      </c>
      <c r="L35" s="84" t="s">
        <v>169</v>
      </c>
    </row>
    <row r="36" spans="2:12" ht="13.3" thickTop="1" thickBot="1" x14ac:dyDescent="0.35">
      <c r="B36" s="88" t="s">
        <v>48</v>
      </c>
      <c r="C36" s="134">
        <f>C32*C35*0.01</f>
        <v>1038.2149008000001</v>
      </c>
      <c r="D36" s="87"/>
      <c r="E36" s="83" t="s">
        <v>49</v>
      </c>
      <c r="F36" s="135">
        <f>C36</f>
        <v>1038.2149008000001</v>
      </c>
      <c r="G36" s="174">
        <f>F36/$D$60*100</f>
        <v>129.36000000000004</v>
      </c>
      <c r="H36" s="127"/>
    </row>
    <row r="37" spans="2:12" ht="12.9" thickTop="1" x14ac:dyDescent="0.3">
      <c r="B37" s="83" t="s">
        <v>166</v>
      </c>
      <c r="E37" s="3" t="s">
        <v>187</v>
      </c>
      <c r="F37" s="110">
        <f>F36-F35</f>
        <v>42.651475627397303</v>
      </c>
      <c r="G37" s="175">
        <f>F37/$D$60*100</f>
        <v>5.3143090923744865</v>
      </c>
      <c r="I37" s="118">
        <f>C19+C21+D22</f>
        <v>132</v>
      </c>
      <c r="J37" s="2" t="s">
        <v>188</v>
      </c>
    </row>
    <row r="38" spans="2:12" x14ac:dyDescent="0.3">
      <c r="D38" s="88"/>
      <c r="E38" s="88"/>
      <c r="F38" s="110"/>
      <c r="G38" s="117"/>
      <c r="H38" s="127"/>
    </row>
    <row r="39" spans="2:12" x14ac:dyDescent="0.3">
      <c r="B39" s="2" t="s">
        <v>225</v>
      </c>
      <c r="C39" s="121">
        <f>F28</f>
        <v>80</v>
      </c>
      <c r="D39" s="100">
        <f>C40*F28*0.01</f>
        <v>252.9105034520548</v>
      </c>
      <c r="E39" s="88" t="s">
        <v>1</v>
      </c>
      <c r="F39" s="113" t="s">
        <v>42</v>
      </c>
      <c r="G39" s="117"/>
      <c r="H39" s="127"/>
    </row>
    <row r="40" spans="2:12" ht="14.15" x14ac:dyDescent="0.35">
      <c r="B40" s="88" t="s">
        <v>40</v>
      </c>
      <c r="C40" s="136">
        <f>((($C$11+($F$22+$F$26)*0.5))*$D$14/365)*C39*0.01</f>
        <v>316.13812931506851</v>
      </c>
      <c r="E40" s="137" t="s">
        <v>56</v>
      </c>
      <c r="F40" s="138">
        <f>F36-F33</f>
        <v>324.21490080000012</v>
      </c>
      <c r="G40" s="117"/>
      <c r="K40" s="83" t="s">
        <v>32</v>
      </c>
    </row>
    <row r="41" spans="2:12" ht="12.9" thickBot="1" x14ac:dyDescent="0.35">
      <c r="B41" s="83" t="s">
        <v>20</v>
      </c>
      <c r="C41" s="139">
        <f>F37+F30</f>
        <v>55.297000800000042</v>
      </c>
      <c r="E41" s="83" t="s">
        <v>75</v>
      </c>
      <c r="F41" s="135">
        <f>F31</f>
        <v>281.56342517260276</v>
      </c>
      <c r="G41" s="117"/>
      <c r="I41" s="83" t="s">
        <v>18</v>
      </c>
      <c r="K41" s="110">
        <f>F41/C35</f>
        <v>0.35082375192517457</v>
      </c>
    </row>
    <row r="42" spans="2:12" ht="12.9" thickTop="1" x14ac:dyDescent="0.3">
      <c r="B42" s="83"/>
      <c r="C42" s="139"/>
      <c r="E42" s="83"/>
      <c r="F42" s="140"/>
      <c r="G42" s="110" t="s">
        <v>53</v>
      </c>
      <c r="I42" s="83"/>
      <c r="K42" s="110"/>
    </row>
    <row r="43" spans="2:12" x14ac:dyDescent="0.3">
      <c r="B43" s="123" t="s">
        <v>13</v>
      </c>
      <c r="C43" s="141">
        <f>((F43+F30)/C40)</f>
        <v>0.17491405076573391</v>
      </c>
      <c r="E43" s="123" t="s">
        <v>176</v>
      </c>
      <c r="F43" s="142">
        <f>F36-F35</f>
        <v>42.651475627397303</v>
      </c>
      <c r="G43" s="142">
        <f>((F43/C35)*100)</f>
        <v>5.3143090923744865</v>
      </c>
    </row>
    <row r="44" spans="2:12" x14ac:dyDescent="0.3">
      <c r="B44" s="88"/>
      <c r="C44" s="143"/>
      <c r="D44" s="88"/>
    </row>
    <row r="45" spans="2:12" x14ac:dyDescent="0.3">
      <c r="B45" s="144" t="s">
        <v>54</v>
      </c>
      <c r="C45" s="145">
        <f>K35</f>
        <v>1.0715085062364089</v>
      </c>
      <c r="D45" s="88"/>
      <c r="E45" s="88" t="s">
        <v>35</v>
      </c>
      <c r="F45" s="100">
        <f>K31</f>
        <v>0.93054823937167541</v>
      </c>
      <c r="G45" s="146"/>
    </row>
    <row r="46" spans="2:12" ht="12.9" thickBot="1" x14ac:dyDescent="0.35">
      <c r="B46" s="147" t="s">
        <v>55</v>
      </c>
      <c r="C46" s="148"/>
      <c r="D46" s="149"/>
      <c r="E46" s="149"/>
      <c r="F46" s="150"/>
      <c r="G46" s="151"/>
    </row>
    <row r="47" spans="2:12" ht="14.6" thickTop="1" x14ac:dyDescent="0.35">
      <c r="B47" s="88"/>
      <c r="C47" s="198" t="s">
        <v>37</v>
      </c>
      <c r="D47" s="199"/>
      <c r="E47" s="83"/>
      <c r="F47" s="200" t="s">
        <v>27</v>
      </c>
      <c r="G47" s="201"/>
    </row>
    <row r="48" spans="2:12" x14ac:dyDescent="0.3">
      <c r="B48" s="3" t="s">
        <v>180</v>
      </c>
      <c r="C48" s="152" t="s">
        <v>3</v>
      </c>
      <c r="D48" s="152" t="s">
        <v>33</v>
      </c>
      <c r="E48" s="83" t="s">
        <v>164</v>
      </c>
      <c r="F48" s="118">
        <f>C58</f>
        <v>129.36000000000001</v>
      </c>
      <c r="G48" s="85" t="s">
        <v>17</v>
      </c>
      <c r="I48" s="83" t="s">
        <v>34</v>
      </c>
    </row>
    <row r="49" spans="2:9" x14ac:dyDescent="0.3">
      <c r="B49" s="88" t="s">
        <v>24</v>
      </c>
      <c r="C49" s="153">
        <v>25</v>
      </c>
      <c r="D49" s="154">
        <f>D59</f>
        <v>127.16065294246825</v>
      </c>
      <c r="E49" s="83" t="s">
        <v>165</v>
      </c>
      <c r="F49" s="155">
        <f>D58</f>
        <v>-2.1993470575317668</v>
      </c>
      <c r="G49" s="156">
        <f>((C49+F30)/C40)</f>
        <v>0.11907935703347122</v>
      </c>
      <c r="I49" s="157"/>
    </row>
    <row r="50" spans="2:9" ht="12.9" thickBot="1" x14ac:dyDescent="0.35">
      <c r="B50" s="88"/>
      <c r="C50" s="153"/>
      <c r="D50" s="158"/>
      <c r="E50" s="159" t="s">
        <v>50</v>
      </c>
      <c r="F50" s="160">
        <f>D59</f>
        <v>127.16065294246825</v>
      </c>
      <c r="G50" s="161"/>
      <c r="I50" s="157"/>
    </row>
    <row r="51" spans="2:9" ht="12.9" thickTop="1" x14ac:dyDescent="0.3">
      <c r="B51" s="162"/>
      <c r="C51" s="162"/>
      <c r="D51" s="162"/>
      <c r="E51" s="162"/>
      <c r="F51" s="162"/>
      <c r="G51" s="162"/>
      <c r="I51" s="157"/>
    </row>
    <row r="52" spans="2:9" x14ac:dyDescent="0.3">
      <c r="B52" s="2" t="s">
        <v>183</v>
      </c>
      <c r="D52" s="163"/>
    </row>
    <row r="53" spans="2:9" x14ac:dyDescent="0.3">
      <c r="B53" s="88" t="s">
        <v>68</v>
      </c>
      <c r="C53" s="164">
        <f>G33</f>
        <v>0.7171818308574488</v>
      </c>
      <c r="D53" s="88" t="s">
        <v>69</v>
      </c>
    </row>
    <row r="54" spans="2:9" x14ac:dyDescent="0.3">
      <c r="B54" s="83" t="s">
        <v>2</v>
      </c>
    </row>
    <row r="55" spans="2:9" x14ac:dyDescent="0.3">
      <c r="B55" s="83"/>
    </row>
    <row r="56" spans="2:9" x14ac:dyDescent="0.3">
      <c r="B56" s="83"/>
      <c r="C56" s="88" t="s">
        <v>28</v>
      </c>
    </row>
    <row r="57" spans="2:9" x14ac:dyDescent="0.3">
      <c r="B57" s="83"/>
      <c r="C57" s="83" t="s">
        <v>23</v>
      </c>
      <c r="D57" s="83" t="s">
        <v>26</v>
      </c>
      <c r="F57" s="83"/>
    </row>
    <row r="58" spans="2:9" x14ac:dyDescent="0.3">
      <c r="B58" s="83"/>
      <c r="C58" s="124">
        <f>C32</f>
        <v>129.36000000000001</v>
      </c>
      <c r="D58" s="165">
        <f>((C49-F43)/(C35))*100</f>
        <v>-2.1993470575317668</v>
      </c>
      <c r="E58" s="83" t="s">
        <v>163</v>
      </c>
      <c r="F58" s="166"/>
    </row>
    <row r="59" spans="2:9" x14ac:dyDescent="0.3">
      <c r="B59" s="83"/>
      <c r="C59" s="83" t="s">
        <v>33</v>
      </c>
      <c r="D59" s="118">
        <f>((C58+D58))</f>
        <v>127.16065294246825</v>
      </c>
    </row>
    <row r="60" spans="2:9" x14ac:dyDescent="0.3">
      <c r="B60" s="83"/>
      <c r="C60" s="83" t="s">
        <v>33</v>
      </c>
      <c r="D60" s="121">
        <f>$C$35</f>
        <v>802.57799999999997</v>
      </c>
      <c r="E60" s="83" t="s">
        <v>30</v>
      </c>
    </row>
    <row r="61" spans="2:9" x14ac:dyDescent="0.3">
      <c r="B61" s="88"/>
      <c r="C61" s="167" t="s">
        <v>25</v>
      </c>
      <c r="D61" s="100">
        <f>D59*D60*0.01</f>
        <v>1020.5634251726027</v>
      </c>
    </row>
    <row r="62" spans="2:9" x14ac:dyDescent="0.3">
      <c r="D62" s="168">
        <f>D61-F35</f>
        <v>24.999999999999886</v>
      </c>
      <c r="E62" s="83" t="s">
        <v>29</v>
      </c>
    </row>
    <row r="64" spans="2:9" x14ac:dyDescent="0.3">
      <c r="B64" s="83"/>
      <c r="C64" s="133" t="s">
        <v>171</v>
      </c>
    </row>
    <row r="65" spans="2:5" x14ac:dyDescent="0.3">
      <c r="B65" s="83"/>
      <c r="C65" s="118" t="s">
        <v>3</v>
      </c>
      <c r="D65" s="169">
        <f>((C7*0.01)*(G36-C10))</f>
        <v>-67.199999999999847</v>
      </c>
      <c r="E65" s="83" t="s">
        <v>149</v>
      </c>
    </row>
    <row r="66" spans="2:5" x14ac:dyDescent="0.3">
      <c r="B66" s="88"/>
      <c r="C66" s="118" t="s">
        <v>3</v>
      </c>
      <c r="D66" s="118">
        <f>((G36*0.01-F45)*(D35))</f>
        <v>109.85147562739735</v>
      </c>
      <c r="E66" s="2" t="s">
        <v>218</v>
      </c>
    </row>
    <row r="67" spans="2:5" x14ac:dyDescent="0.3">
      <c r="C67" s="100" t="s">
        <v>3</v>
      </c>
      <c r="D67" s="155">
        <f>D65+D66</f>
        <v>42.651475627397502</v>
      </c>
      <c r="E67" s="88" t="s">
        <v>162</v>
      </c>
    </row>
  </sheetData>
  <mergeCells count="5">
    <mergeCell ref="I10:L10"/>
    <mergeCell ref="B1:G1"/>
    <mergeCell ref="C47:D47"/>
    <mergeCell ref="F47:G47"/>
    <mergeCell ref="C3:F3"/>
  </mergeCells>
  <pageMargins left="1" right="0.5" top="1" bottom="1" header="0.5" footer="0.5"/>
  <pageSetup scale="92" orientation="portrait" horizontalDpi="4294967294" r:id="rId1"/>
  <headerFooter alignWithMargins="0">
    <oddFooter>&amp;L&amp;F&amp;R&amp;A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R51"/>
  <sheetViews>
    <sheetView topLeftCell="A7" workbookViewId="0">
      <selection activeCell="K2" sqref="K2"/>
    </sheetView>
  </sheetViews>
  <sheetFormatPr defaultRowHeight="12.45" x14ac:dyDescent="0.3"/>
  <cols>
    <col min="1" max="1" width="3.07421875" customWidth="1"/>
    <col min="2" max="2" width="14.84375" customWidth="1"/>
    <col min="3" max="3" width="8.84375" customWidth="1"/>
    <col min="4" max="4" width="10.3828125" customWidth="1"/>
    <col min="5" max="5" width="9.921875" customWidth="1"/>
    <col min="6" max="6" width="8.921875" bestFit="1" customWidth="1"/>
    <col min="7" max="7" width="8.921875" customWidth="1"/>
    <col min="10" max="10" width="10.4609375" customWidth="1"/>
    <col min="11" max="11" width="9" bestFit="1" customWidth="1"/>
    <col min="12" max="12" width="10.53515625" customWidth="1"/>
    <col min="15" max="15" width="9.921875" bestFit="1" customWidth="1"/>
  </cols>
  <sheetData>
    <row r="2" spans="2:12" ht="15.45" x14ac:dyDescent="0.4">
      <c r="B2" s="207" t="s">
        <v>113</v>
      </c>
      <c r="C2" s="208"/>
      <c r="D2" s="208"/>
      <c r="E2" s="208"/>
      <c r="F2" s="208"/>
      <c r="G2" s="208"/>
      <c r="H2" s="208"/>
      <c r="I2" s="208"/>
    </row>
    <row r="3" spans="2:12" x14ac:dyDescent="0.3">
      <c r="E3" s="28">
        <f>'1StockerProjectedProfitability '!C7</f>
        <v>500</v>
      </c>
      <c r="F3" s="2" t="s">
        <v>80</v>
      </c>
    </row>
    <row r="4" spans="2:12" x14ac:dyDescent="0.3">
      <c r="E4" s="80">
        <f>'1StockerProjectedProfitability '!C10</f>
        <v>142.80000000000001</v>
      </c>
      <c r="F4" s="2" t="s">
        <v>81</v>
      </c>
      <c r="K4" s="29"/>
      <c r="L4" s="79"/>
    </row>
    <row r="5" spans="2:12" x14ac:dyDescent="0.3">
      <c r="E5" s="10">
        <f>E3*E4*0.01</f>
        <v>714</v>
      </c>
      <c r="F5" s="2" t="s">
        <v>78</v>
      </c>
      <c r="K5" s="78"/>
    </row>
    <row r="6" spans="2:12" x14ac:dyDescent="0.3">
      <c r="E6" s="77">
        <f>'1StockerProjectedProfitability '!F29</f>
        <v>5</v>
      </c>
      <c r="F6" s="2" t="s">
        <v>82</v>
      </c>
    </row>
    <row r="7" spans="2:12" x14ac:dyDescent="0.3">
      <c r="E7" s="35">
        <f>'1StockerProjectedProfitability '!D17</f>
        <v>1.8517647058823528</v>
      </c>
      <c r="F7" s="2" t="s">
        <v>83</v>
      </c>
    </row>
    <row r="8" spans="2:12" x14ac:dyDescent="0.3">
      <c r="E8" s="22">
        <f>'1StockerProjectedProfitability '!I14</f>
        <v>170</v>
      </c>
      <c r="F8" s="2" t="s">
        <v>97</v>
      </c>
    </row>
    <row r="9" spans="2:12" x14ac:dyDescent="0.3">
      <c r="E9" s="34">
        <f>'1StockerProjectedProfitability '!C34</f>
        <v>1.5</v>
      </c>
      <c r="F9" s="2" t="s">
        <v>74</v>
      </c>
    </row>
    <row r="10" spans="2:12" x14ac:dyDescent="0.3">
      <c r="E10" s="28">
        <f>'1StockerProjectedProfitability '!C17</f>
        <v>814.8</v>
      </c>
      <c r="F10" s="2" t="s">
        <v>98</v>
      </c>
      <c r="K10" s="26"/>
      <c r="L10" s="10"/>
    </row>
    <row r="11" spans="2:12" x14ac:dyDescent="0.3">
      <c r="E11" s="28">
        <f>(E10*(100-E9))*0.01</f>
        <v>802.57799999999986</v>
      </c>
      <c r="F11" s="2" t="s">
        <v>5</v>
      </c>
      <c r="K11" s="2" t="s">
        <v>110</v>
      </c>
    </row>
    <row r="12" spans="2:12" x14ac:dyDescent="0.3">
      <c r="E12" s="4">
        <f>E11-E3</f>
        <v>302.57799999999986</v>
      </c>
      <c r="F12" s="2" t="s">
        <v>84</v>
      </c>
      <c r="K12" s="26">
        <v>3</v>
      </c>
      <c r="L12" s="10" t="s">
        <v>92</v>
      </c>
    </row>
    <row r="13" spans="2:12" x14ac:dyDescent="0.3">
      <c r="B13" s="3" t="s">
        <v>85</v>
      </c>
      <c r="J13" s="9"/>
      <c r="K13" s="26">
        <v>0.1</v>
      </c>
      <c r="L13" s="10" t="s">
        <v>93</v>
      </c>
    </row>
    <row r="14" spans="2:12" x14ac:dyDescent="0.3">
      <c r="B14" s="3" t="s">
        <v>209</v>
      </c>
      <c r="E14" s="10">
        <f>F14-K12</f>
        <v>123.36000000000001</v>
      </c>
      <c r="F14" s="10">
        <f>G14-K12</f>
        <v>126.36000000000001</v>
      </c>
      <c r="G14" s="80">
        <f>'1StockerProjectedProfitability '!C32</f>
        <v>129.36000000000001</v>
      </c>
      <c r="H14" s="9">
        <f>G14+K12</f>
        <v>132.36000000000001</v>
      </c>
      <c r="I14" s="9">
        <f>H14+K12</f>
        <v>135.36000000000001</v>
      </c>
      <c r="J14" s="9"/>
    </row>
    <row r="15" spans="2:12" x14ac:dyDescent="0.3">
      <c r="B15" s="2" t="s">
        <v>86</v>
      </c>
      <c r="E15" s="8">
        <f>E14*$E$11*0.01</f>
        <v>990.06022080000002</v>
      </c>
      <c r="F15" s="8">
        <f>F14*$E$11*0.01</f>
        <v>1014.1375608</v>
      </c>
      <c r="G15" s="8">
        <f t="shared" ref="G15:I15" si="0">G14*$E$11*0.01</f>
        <v>1038.2149007999999</v>
      </c>
      <c r="H15" s="8">
        <f t="shared" si="0"/>
        <v>1062.2922407999999</v>
      </c>
      <c r="I15" s="8">
        <f t="shared" si="0"/>
        <v>1086.3695808</v>
      </c>
      <c r="J15" s="9"/>
    </row>
    <row r="16" spans="2:12" x14ac:dyDescent="0.3">
      <c r="B16" s="2"/>
      <c r="E16" s="9"/>
      <c r="F16" s="9"/>
      <c r="G16" s="9"/>
      <c r="H16" s="9"/>
      <c r="I16" s="9"/>
      <c r="J16" s="9"/>
    </row>
    <row r="17" spans="2:18" x14ac:dyDescent="0.3">
      <c r="B17" s="3" t="s">
        <v>88</v>
      </c>
      <c r="C17" s="3"/>
      <c r="D17" s="3"/>
      <c r="E17" s="7">
        <f>(E15-($E$3*$E$4*0.01))/$E$12</f>
        <v>0.91236051794909134</v>
      </c>
      <c r="F17" s="7">
        <f t="shared" ref="F17:I17" si="1">(F15-($E$3*$E$4*0.01))/$E$12</f>
        <v>0.99193451209274996</v>
      </c>
      <c r="G17" s="7">
        <f t="shared" si="1"/>
        <v>1.0715085062364087</v>
      </c>
      <c r="H17" s="7">
        <f t="shared" si="1"/>
        <v>1.1510825003800675</v>
      </c>
      <c r="I17" s="7">
        <f t="shared" si="1"/>
        <v>1.2306564945237266</v>
      </c>
      <c r="J17" s="9"/>
    </row>
    <row r="18" spans="2:18" x14ac:dyDescent="0.3">
      <c r="B18" s="2"/>
      <c r="E18" s="9"/>
      <c r="F18" s="9"/>
      <c r="G18" s="9"/>
      <c r="H18" s="9"/>
      <c r="I18" s="9"/>
      <c r="J18" s="9"/>
    </row>
    <row r="19" spans="2:18" x14ac:dyDescent="0.3">
      <c r="B19" s="11" t="s">
        <v>99</v>
      </c>
      <c r="C19" s="36" t="s">
        <v>100</v>
      </c>
      <c r="D19" s="11" t="s">
        <v>103</v>
      </c>
      <c r="K19" s="2" t="s">
        <v>101</v>
      </c>
      <c r="L19" s="2" t="s">
        <v>102</v>
      </c>
      <c r="M19" s="2" t="s">
        <v>102</v>
      </c>
    </row>
    <row r="20" spans="2:18" x14ac:dyDescent="0.3">
      <c r="B20" s="11" t="s">
        <v>112</v>
      </c>
      <c r="C20" s="37" t="s">
        <v>95</v>
      </c>
      <c r="D20" s="11" t="s">
        <v>112</v>
      </c>
      <c r="E20" s="205" t="s">
        <v>87</v>
      </c>
      <c r="F20" s="205"/>
      <c r="G20" s="205"/>
      <c r="H20" s="205"/>
      <c r="I20" s="205"/>
      <c r="K20" s="2" t="s">
        <v>94</v>
      </c>
      <c r="L20" s="2" t="s">
        <v>94</v>
      </c>
      <c r="M20" s="2" t="s">
        <v>100</v>
      </c>
      <c r="O20" s="2" t="s">
        <v>106</v>
      </c>
      <c r="P20" s="2" t="s">
        <v>104</v>
      </c>
    </row>
    <row r="21" spans="2:18" x14ac:dyDescent="0.3">
      <c r="B21" s="9">
        <f>B22-$K$13</f>
        <v>0.44829597657463549</v>
      </c>
      <c r="D21" s="9">
        <f>B21+L21+M21</f>
        <v>0.65056343334362265</v>
      </c>
      <c r="E21" s="33">
        <f t="shared" ref="E21:I27" si="2">E$15-(($E$4*$E$3*0.01)+($B21*$E$12)+($E$8*$C$24)+($K21))</f>
        <v>79.214038265753402</v>
      </c>
      <c r="F21" s="33">
        <f t="shared" si="2"/>
        <v>103.29137826575334</v>
      </c>
      <c r="G21" s="33">
        <f t="shared" si="2"/>
        <v>127.36871826575327</v>
      </c>
      <c r="H21" s="33">
        <f t="shared" si="2"/>
        <v>151.44605826575332</v>
      </c>
      <c r="I21" s="33">
        <f t="shared" si="2"/>
        <v>175.52339826575337</v>
      </c>
      <c r="K21" s="33">
        <f t="shared" ref="K21:K23" si="3">(($E$4*$E$3*0.01)+($B21*$E$12*0.5+$C$24*$E$8*0.5))*($E$6*0.01*($E$8/365))</f>
        <v>18.701682534246576</v>
      </c>
      <c r="L21" s="38">
        <f>K21/$E$12</f>
        <v>6.1807806695287112E-2</v>
      </c>
      <c r="M21" s="9">
        <f>(($C$24*$E$8)/$E$12)</f>
        <v>0.14045965007370007</v>
      </c>
      <c r="N21" s="2"/>
      <c r="O21" s="9">
        <f>($D21*$E$12+$E$3*$E$4*0.01)</f>
        <v>910.84618253424651</v>
      </c>
      <c r="P21" s="9">
        <f>((O21/$E$11)*100)</f>
        <v>113.49005112702399</v>
      </c>
      <c r="Q21" s="2"/>
    </row>
    <row r="22" spans="2:18" x14ac:dyDescent="0.3">
      <c r="B22" s="9">
        <f>B23-$K$13</f>
        <v>0.54829597657463547</v>
      </c>
      <c r="D22" s="9">
        <f t="shared" ref="D22:D27" si="4">B22+L22+M22</f>
        <v>0.75172781690526658</v>
      </c>
      <c r="E22" s="33">
        <f t="shared" si="2"/>
        <v>48.603921416438425</v>
      </c>
      <c r="F22" s="33">
        <f t="shared" si="2"/>
        <v>72.68126141643836</v>
      </c>
      <c r="G22" s="33">
        <f t="shared" si="2"/>
        <v>96.758601416438296</v>
      </c>
      <c r="H22" s="33">
        <f t="shared" si="2"/>
        <v>120.83594141643835</v>
      </c>
      <c r="I22" s="33">
        <f t="shared" si="2"/>
        <v>144.91328141643839</v>
      </c>
      <c r="K22" s="33">
        <f t="shared" si="3"/>
        <v>19.053999383561646</v>
      </c>
      <c r="L22" s="38">
        <f t="shared" ref="L22:L27" si="5">K22/$E$12</f>
        <v>6.297219025693096E-2</v>
      </c>
      <c r="M22" s="9">
        <f t="shared" ref="M22:M27" si="6">(($C$24*$E$8)/$E$12)</f>
        <v>0.14045965007370007</v>
      </c>
      <c r="N22" s="9"/>
      <c r="O22" s="9">
        <f t="shared" ref="O22:O27" si="7">($D22*$E$12+$E$3*$E$4*0.01)</f>
        <v>941.4562993835616</v>
      </c>
      <c r="P22" s="9">
        <f t="shared" ref="P22:P27" si="8">((O22/$E$11)*100)</f>
        <v>117.30402520173264</v>
      </c>
      <c r="Q22" s="9"/>
      <c r="R22" s="9"/>
    </row>
    <row r="23" spans="2:18" x14ac:dyDescent="0.3">
      <c r="B23" s="9">
        <f>B24-$K$13</f>
        <v>0.64829597657463545</v>
      </c>
      <c r="D23" s="9">
        <f t="shared" si="4"/>
        <v>0.85289220046691039</v>
      </c>
      <c r="E23" s="33">
        <f t="shared" si="2"/>
        <v>17.993804567123334</v>
      </c>
      <c r="F23" s="33">
        <f t="shared" si="2"/>
        <v>42.07114456712327</v>
      </c>
      <c r="G23" s="33">
        <f t="shared" si="2"/>
        <v>66.148484567123205</v>
      </c>
      <c r="H23" s="33">
        <f t="shared" si="2"/>
        <v>90.225824567123254</v>
      </c>
      <c r="I23" s="33">
        <f t="shared" si="2"/>
        <v>114.3031645671233</v>
      </c>
      <c r="K23" s="33">
        <f t="shared" si="3"/>
        <v>19.406316232876716</v>
      </c>
      <c r="L23" s="38">
        <f t="shared" si="5"/>
        <v>6.4136573818574794E-2</v>
      </c>
      <c r="M23" s="9">
        <f t="shared" si="6"/>
        <v>0.14045965007370007</v>
      </c>
      <c r="O23" s="9">
        <f t="shared" si="7"/>
        <v>972.06641623287669</v>
      </c>
      <c r="P23" s="9">
        <f t="shared" si="8"/>
        <v>121.11799927644127</v>
      </c>
    </row>
    <row r="24" spans="2:18" x14ac:dyDescent="0.3">
      <c r="B24" s="21">
        <f>'1StockerProjectedProfitability '!I22</f>
        <v>0.74829597657463542</v>
      </c>
      <c r="C24" s="29">
        <f>'1StockerProjectedProfitability '!M25</f>
        <v>0.25</v>
      </c>
      <c r="D24" s="9">
        <f t="shared" si="4"/>
        <v>0.9540565840285542</v>
      </c>
      <c r="E24" s="33">
        <f t="shared" si="2"/>
        <v>-12.616312282191643</v>
      </c>
      <c r="F24" s="33">
        <f t="shared" si="2"/>
        <v>11.461027717808292</v>
      </c>
      <c r="G24" s="23">
        <f>G$15-(($E$4*$E$3*0.01)+($B24*$E$12)+($E$8*$C$24)+($K24))</f>
        <v>35.538367717808228</v>
      </c>
      <c r="H24" s="33">
        <f t="shared" si="2"/>
        <v>59.615707717808277</v>
      </c>
      <c r="I24" s="33">
        <f t="shared" si="2"/>
        <v>83.693047717808327</v>
      </c>
      <c r="K24" s="33">
        <f>(($E$4*$E$3*0.01)+($B$24*$E$12*0.5+$C$24*$E$8*0.5))*($E$6*0.01*($E$8/365))</f>
        <v>19.758633082191782</v>
      </c>
      <c r="L24" s="38">
        <f t="shared" si="5"/>
        <v>6.5300957380218627E-2</v>
      </c>
      <c r="M24" s="7">
        <f t="shared" si="6"/>
        <v>0.14045965007370007</v>
      </c>
      <c r="N24" s="9"/>
      <c r="O24" s="9">
        <f t="shared" si="7"/>
        <v>1002.6765330821918</v>
      </c>
      <c r="P24" s="7">
        <f t="shared" si="8"/>
        <v>124.93197335114992</v>
      </c>
      <c r="Q24" s="7">
        <f>G15-O24</f>
        <v>35.538367717808114</v>
      </c>
    </row>
    <row r="25" spans="2:18" x14ac:dyDescent="0.3">
      <c r="B25" s="9">
        <f>B24+$K$13</f>
        <v>0.8482959765746354</v>
      </c>
      <c r="D25" s="9">
        <f t="shared" si="4"/>
        <v>1.0552209675901978</v>
      </c>
      <c r="E25" s="33">
        <f t="shared" si="2"/>
        <v>-43.22642913150662</v>
      </c>
      <c r="F25" s="33">
        <f t="shared" si="2"/>
        <v>-19.149089131506685</v>
      </c>
      <c r="G25" s="33">
        <f>G$15-(($E$4*$E$3*0.01)+($B25*$E$12)+($E$8*$C$24)+($K25))</f>
        <v>4.9282508684932509</v>
      </c>
      <c r="H25" s="33">
        <f t="shared" si="2"/>
        <v>29.0055908684933</v>
      </c>
      <c r="I25" s="33">
        <f t="shared" si="2"/>
        <v>53.082930868493349</v>
      </c>
      <c r="K25" s="33">
        <f t="shared" ref="K25:K27" si="9">(($E$4*$E$3*0.01)+($B25*$E$12*0.5+$C$24*$E$8*0.5))*($E$6*0.01*($E$8/365))</f>
        <v>20.110949931506848</v>
      </c>
      <c r="L25" s="38">
        <f t="shared" si="5"/>
        <v>6.6465340941862447E-2</v>
      </c>
      <c r="M25" s="9">
        <f t="shared" si="6"/>
        <v>0.14045965007370007</v>
      </c>
      <c r="O25" s="9">
        <f t="shared" si="7"/>
        <v>1033.2866499315066</v>
      </c>
      <c r="P25" s="9">
        <f t="shared" si="8"/>
        <v>128.74594742585853</v>
      </c>
      <c r="Q25" s="2"/>
      <c r="R25" s="9"/>
    </row>
    <row r="26" spans="2:18" x14ac:dyDescent="0.3">
      <c r="B26" s="9">
        <f>B25+$K$13</f>
        <v>0.94829597657463538</v>
      </c>
      <c r="D26" s="9">
        <f t="shared" si="4"/>
        <v>1.1563853511518418</v>
      </c>
      <c r="E26" s="33">
        <f t="shared" si="2"/>
        <v>-73.836545980821711</v>
      </c>
      <c r="F26" s="33">
        <f t="shared" si="2"/>
        <v>-49.759205980821775</v>
      </c>
      <c r="G26" s="33">
        <f t="shared" ref="G26:G27" si="10">G$15-(($E$4*$E$3*0.01)+($B26*$E$12)+($E$8*$C$24)+($K26))</f>
        <v>-25.68186598082184</v>
      </c>
      <c r="H26" s="33">
        <f t="shared" si="2"/>
        <v>-1.6045259808217907</v>
      </c>
      <c r="I26" s="33">
        <f t="shared" si="2"/>
        <v>22.472814019178259</v>
      </c>
      <c r="K26" s="33">
        <f t="shared" si="9"/>
        <v>20.463266780821918</v>
      </c>
      <c r="L26" s="38">
        <f t="shared" si="5"/>
        <v>6.7629724503506294E-2</v>
      </c>
      <c r="M26" s="9">
        <f t="shared" si="6"/>
        <v>0.14045965007370007</v>
      </c>
      <c r="O26" s="9">
        <f t="shared" si="7"/>
        <v>1063.896766780822</v>
      </c>
      <c r="P26" s="9">
        <f t="shared" si="8"/>
        <v>132.55992150056719</v>
      </c>
      <c r="Q26" s="2"/>
      <c r="R26" s="9"/>
    </row>
    <row r="27" spans="2:18" x14ac:dyDescent="0.3">
      <c r="B27" s="9">
        <f>B26+$K$13</f>
        <v>1.0482959765746354</v>
      </c>
      <c r="D27" s="9">
        <f t="shared" si="4"/>
        <v>1.2575497347134856</v>
      </c>
      <c r="E27" s="33">
        <f t="shared" si="2"/>
        <v>-104.44666283013703</v>
      </c>
      <c r="F27" s="33">
        <f t="shared" si="2"/>
        <v>-80.369322830137094</v>
      </c>
      <c r="G27" s="33">
        <f t="shared" si="10"/>
        <v>-56.291982830137158</v>
      </c>
      <c r="H27" s="33">
        <f t="shared" si="2"/>
        <v>-32.214642830137109</v>
      </c>
      <c r="I27" s="33">
        <f t="shared" si="2"/>
        <v>-8.1373028301370596</v>
      </c>
      <c r="K27" s="33">
        <f t="shared" si="9"/>
        <v>20.815583630136988</v>
      </c>
      <c r="L27" s="38">
        <f t="shared" si="5"/>
        <v>6.8794108065150142E-2</v>
      </c>
      <c r="M27" s="9">
        <f t="shared" si="6"/>
        <v>0.14045965007370007</v>
      </c>
      <c r="O27" s="9">
        <f t="shared" si="7"/>
        <v>1094.5068836301368</v>
      </c>
      <c r="P27" s="9">
        <f t="shared" si="8"/>
        <v>136.37389557527578</v>
      </c>
      <c r="R27" s="9"/>
    </row>
    <row r="29" spans="2:18" x14ac:dyDescent="0.3">
      <c r="B29" s="11" t="s">
        <v>99</v>
      </c>
      <c r="D29" s="11" t="s">
        <v>103</v>
      </c>
    </row>
    <row r="30" spans="2:18" x14ac:dyDescent="0.3">
      <c r="B30" s="11" t="s">
        <v>112</v>
      </c>
      <c r="D30" s="11" t="s">
        <v>112</v>
      </c>
      <c r="E30" s="205" t="s">
        <v>89</v>
      </c>
      <c r="F30" s="205"/>
      <c r="G30" s="205"/>
      <c r="H30" s="205"/>
      <c r="I30" s="205"/>
    </row>
    <row r="31" spans="2:18" x14ac:dyDescent="0.3">
      <c r="B31" s="10">
        <f t="shared" ref="B31:B33" si="11">B21</f>
        <v>0.44829597657463549</v>
      </c>
      <c r="D31" s="9">
        <f>D21</f>
        <v>0.65056343334362265</v>
      </c>
      <c r="E31" s="31">
        <f t="shared" ref="E31:F31" si="12">(E21+$K21)/((($E$4*$E$3*0.01)+($E$12*$B31+$M$24*$E$12)*0.5)*($E$8/365))</f>
        <v>0.26178318614032836</v>
      </c>
      <c r="F31" s="31">
        <f t="shared" si="12"/>
        <v>0.32615530869109205</v>
      </c>
      <c r="G31" s="31">
        <f t="shared" ref="G31:G33" si="13">($G21+$K21)/((($E$4*$E$3*0.01)+($E$12*$B31+$M$24*$E$12)*0.5)*($E$8/365))</f>
        <v>0.39052743124185574</v>
      </c>
      <c r="H31" s="31">
        <f t="shared" ref="H31:I31" si="14">(H21+$K21)/((($E$4*$E$3*0.01)+($E$12*$B31+$M$24*$E$12)*0.5)*($E$8/365))</f>
        <v>0.4548995537926197</v>
      </c>
      <c r="I31" s="31">
        <f t="shared" si="14"/>
        <v>0.51927167634338367</v>
      </c>
      <c r="K31" s="23"/>
      <c r="M31" s="30"/>
    </row>
    <row r="32" spans="2:18" x14ac:dyDescent="0.3">
      <c r="B32" s="10">
        <f t="shared" si="11"/>
        <v>0.54829597657463547</v>
      </c>
      <c r="D32" s="9">
        <f t="shared" ref="D32:D37" si="15">D22</f>
        <v>0.75172781690526658</v>
      </c>
      <c r="E32" s="31">
        <f t="shared" ref="E32:F32" si="16">(E22+$K22)/((($E$4*$E$3*0.01)+($E$12*$B32+$M$24*$E$12)*0.5)*($E$8/365))</f>
        <v>0.17754257108449956</v>
      </c>
      <c r="F32" s="31">
        <f t="shared" si="16"/>
        <v>0.24072442470829061</v>
      </c>
      <c r="G32" s="31">
        <f t="shared" si="13"/>
        <v>0.30390627833208167</v>
      </c>
      <c r="H32" s="31">
        <f t="shared" ref="H32:I32" si="17">(H22+$K22)/((($E$4*$E$3*0.01)+($E$12*$B32+$M$24*$E$12)*0.5)*($E$8/365))</f>
        <v>0.36708813195587298</v>
      </c>
      <c r="I32" s="31">
        <f t="shared" si="17"/>
        <v>0.43026998557966434</v>
      </c>
      <c r="M32" s="29"/>
    </row>
    <row r="33" spans="2:11" x14ac:dyDescent="0.3">
      <c r="B33" s="10">
        <f t="shared" si="11"/>
        <v>0.64829597657463545</v>
      </c>
      <c r="D33" s="9">
        <f t="shared" si="15"/>
        <v>0.85289220046691039</v>
      </c>
      <c r="E33" s="31">
        <f t="shared" ref="E33:F33" si="18">(E23+$K23)/((($E$4*$E$3*0.01)+($E$12*$B33+$M$24*$E$12)*0.5)*($E$8/365))</f>
        <v>9.6360690898769349E-2</v>
      </c>
      <c r="F33" s="31">
        <f t="shared" si="18"/>
        <v>0.15839549366883326</v>
      </c>
      <c r="G33" s="31">
        <f t="shared" si="13"/>
        <v>0.22043029643889719</v>
      </c>
      <c r="H33" s="31">
        <f t="shared" ref="H33:I33" si="19">(H23+$K23)/((($E$4*$E$3*0.01)+($E$12*$B33+$M$24*$E$12)*0.5)*($E$8/365))</f>
        <v>0.2824650992089614</v>
      </c>
      <c r="I33" s="31">
        <f t="shared" si="19"/>
        <v>0.34449990197902564</v>
      </c>
      <c r="K33" s="27"/>
    </row>
    <row r="34" spans="2:11" x14ac:dyDescent="0.3">
      <c r="B34" s="7">
        <f>B24</f>
        <v>0.74829597657463542</v>
      </c>
      <c r="C34" s="29">
        <f>C24</f>
        <v>0.25</v>
      </c>
      <c r="D34" s="9">
        <f t="shared" si="15"/>
        <v>0.9540565840285542</v>
      </c>
      <c r="E34" s="5">
        <f>(E24+$K24)/((($E$4*$E$3*0.01)+($E$12*$B34+$M$24*$E$12)*0.5)*($E$8/365))</f>
        <v>1.8073924370905565E-2</v>
      </c>
      <c r="F34" s="5">
        <f>(F24+$K24)/((($E$4*$E$3*0.01)+($E$12*$B34+$M$24*$E$12)*0.5)*($E$8/365))</f>
        <v>7.9002582491746312E-2</v>
      </c>
      <c r="G34" s="5">
        <f>(G24+$K24)/((($E$4*$E$3*0.01)+($E$12*$B34+$M$24*$E$12)*0.5)*($E$8/365))</f>
        <v>0.13993124061258705</v>
      </c>
      <c r="H34" s="5">
        <f>(H24+$K24)/((($E$4*$E$3*0.01)+($E$12*$B34+$M$24*$E$12)*0.5)*($E$8/365))</f>
        <v>0.2008598987334281</v>
      </c>
      <c r="I34" s="5">
        <f>(I24+$K24)/((($E$4*$E$3*0.01)+($E$12*$B34+$M$24*$E$12)*0.5)*($E$8/365))</f>
        <v>0.26178855685426911</v>
      </c>
      <c r="K34" s="39"/>
    </row>
    <row r="35" spans="2:11" x14ac:dyDescent="0.3">
      <c r="B35" s="10">
        <f t="shared" ref="B35:B37" si="20">B25</f>
        <v>0.8482959765746354</v>
      </c>
      <c r="D35" s="9">
        <f t="shared" si="15"/>
        <v>1.0552209675901978</v>
      </c>
      <c r="E35" s="31">
        <f t="shared" ref="E35:F35" si="21">(E25+$K25)/((($E$4*$E$3*0.01)+($E$12*$B35+$M$24*$E$12)*0.5)*($E$8/365))</f>
        <v>-5.7469884015239565E-2</v>
      </c>
      <c r="F35" s="31">
        <f t="shared" si="21"/>
        <v>2.391385795489608E-3</v>
      </c>
      <c r="G35" s="31">
        <f t="shared" ref="G35:G37" si="22">($G25+$K25)/((($E$4*$E$3*0.01)+($E$12*$B35+$M$24*$E$12)*0.5)*($E$8/365))</f>
        <v>6.2252655606218787E-2</v>
      </c>
      <c r="H35" s="31">
        <f t="shared" ref="H35:I35" si="23">(H25+$K25)/((($E$4*$E$3*0.01)+($E$12*$B35+$M$24*$E$12)*0.5)*($E$8/365))</f>
        <v>0.12211392541694825</v>
      </c>
      <c r="I35" s="31">
        <f t="shared" si="23"/>
        <v>0.18197519522767772</v>
      </c>
      <c r="K35" s="2" t="s">
        <v>90</v>
      </c>
    </row>
    <row r="36" spans="2:11" x14ac:dyDescent="0.3">
      <c r="B36" s="10">
        <f t="shared" si="20"/>
        <v>0.94829597657463538</v>
      </c>
      <c r="D36" s="9">
        <f t="shared" si="15"/>
        <v>1.1563853511518418</v>
      </c>
      <c r="E36" s="31">
        <f t="shared" ref="E36:F36" si="24">(E26+$K26)/((($E$4*$E$3*0.01)+($E$12*$B36+$M$24*$E$12)*0.5)*($E$8/365))</f>
        <v>-0.13041241110637575</v>
      </c>
      <c r="F36" s="31">
        <f t="shared" si="24"/>
        <v>-7.1581775074779086E-2</v>
      </c>
      <c r="G36" s="31">
        <f t="shared" si="22"/>
        <v>-1.2751139043182418E-2</v>
      </c>
      <c r="H36" s="31">
        <f t="shared" ref="H36:I36" si="25">(H26+$K26)/((($E$4*$E$3*0.01)+($E$12*$B36+$M$24*$E$12)*0.5)*($E$8/365))</f>
        <v>4.6079496988414528E-2</v>
      </c>
      <c r="I36" s="31">
        <f t="shared" si="25"/>
        <v>0.10491013302001147</v>
      </c>
      <c r="K36" s="2" t="s">
        <v>91</v>
      </c>
    </row>
    <row r="37" spans="2:11" x14ac:dyDescent="0.3">
      <c r="B37" s="10">
        <f t="shared" si="20"/>
        <v>1.0482959765746354</v>
      </c>
      <c r="D37" s="9">
        <f t="shared" si="15"/>
        <v>1.2575497347134856</v>
      </c>
      <c r="E37" s="31">
        <f t="shared" ref="E37:F37" si="26">(E27+$K27)/((($E$4*$E$3*0.01)+($E$12*$B37+$M$24*$E$12)*0.5)*($E$8/365))</f>
        <v>-0.20088574187013963</v>
      </c>
      <c r="F37" s="31">
        <f t="shared" si="26"/>
        <v>-0.14305085136738055</v>
      </c>
      <c r="G37" s="31">
        <f t="shared" si="22"/>
        <v>-8.5215960864621479E-2</v>
      </c>
      <c r="H37" s="31">
        <f t="shared" ref="H37:I37" si="27">(H27+$K27)/((($E$4*$E$3*0.01)+($E$12*$B37+$M$24*$E$12)*0.5)*($E$8/365))</f>
        <v>-2.7381070361862117E-2</v>
      </c>
      <c r="I37" s="31">
        <f t="shared" si="27"/>
        <v>3.0453820140897231E-2</v>
      </c>
    </row>
    <row r="38" spans="2:11" x14ac:dyDescent="0.3">
      <c r="B38" s="10"/>
      <c r="D38" s="9"/>
      <c r="E38" s="31"/>
      <c r="F38" s="31"/>
      <c r="G38" s="31"/>
      <c r="H38" s="31"/>
      <c r="I38" s="31"/>
    </row>
    <row r="39" spans="2:11" x14ac:dyDescent="0.3">
      <c r="H39" s="3" t="s">
        <v>108</v>
      </c>
    </row>
    <row r="40" spans="2:11" x14ac:dyDescent="0.3">
      <c r="D40" s="11" t="s">
        <v>103</v>
      </c>
      <c r="E40" s="205" t="s">
        <v>109</v>
      </c>
      <c r="F40" s="206"/>
      <c r="G40" s="206"/>
      <c r="H40" s="32"/>
      <c r="I40" s="41">
        <f>E3*E4*0.01</f>
        <v>714</v>
      </c>
    </row>
    <row r="41" spans="2:11" x14ac:dyDescent="0.3">
      <c r="D41" s="11" t="s">
        <v>112</v>
      </c>
      <c r="E41" s="32"/>
      <c r="F41" s="32" t="s">
        <v>33</v>
      </c>
      <c r="G41" s="32" t="s">
        <v>105</v>
      </c>
      <c r="I41" s="32" t="s">
        <v>107</v>
      </c>
    </row>
    <row r="42" spans="2:11" x14ac:dyDescent="0.3">
      <c r="D42" s="9">
        <f t="shared" ref="D42:D48" si="28">D31</f>
        <v>0.65056343334362265</v>
      </c>
      <c r="F42" s="9">
        <f t="shared" ref="F42:F48" si="29">P21</f>
        <v>113.49005112702399</v>
      </c>
      <c r="G42" s="8">
        <f t="shared" ref="G42:G48" si="30">O21</f>
        <v>910.84618253424651</v>
      </c>
      <c r="I42" s="20">
        <f t="shared" ref="I42:I48" si="31">($I$40/$G42)</f>
        <v>0.78388647138360779</v>
      </c>
    </row>
    <row r="43" spans="2:11" x14ac:dyDescent="0.3">
      <c r="D43" s="9">
        <f t="shared" si="28"/>
        <v>0.75172781690526658</v>
      </c>
      <c r="F43" s="9">
        <f t="shared" si="29"/>
        <v>117.30402520173264</v>
      </c>
      <c r="G43" s="8">
        <f t="shared" si="30"/>
        <v>941.4562993835616</v>
      </c>
      <c r="I43" s="20">
        <f t="shared" si="31"/>
        <v>0.75839951410119255</v>
      </c>
    </row>
    <row r="44" spans="2:11" x14ac:dyDescent="0.3">
      <c r="D44" s="9">
        <f t="shared" si="28"/>
        <v>0.85289220046691039</v>
      </c>
      <c r="F44" s="9">
        <f t="shared" si="29"/>
        <v>121.11799927644127</v>
      </c>
      <c r="G44" s="8">
        <f t="shared" si="30"/>
        <v>972.06641623287669</v>
      </c>
      <c r="I44" s="20">
        <f t="shared" si="31"/>
        <v>0.73451771203763916</v>
      </c>
    </row>
    <row r="45" spans="2:11" x14ac:dyDescent="0.3">
      <c r="D45" s="7">
        <f t="shared" si="28"/>
        <v>0.9540565840285542</v>
      </c>
      <c r="E45" s="3"/>
      <c r="F45" s="7">
        <f t="shared" si="29"/>
        <v>124.93197335114992</v>
      </c>
      <c r="G45" s="19">
        <f t="shared" si="30"/>
        <v>1002.6765330821918</v>
      </c>
      <c r="H45" s="3"/>
      <c r="I45" s="40">
        <f t="shared" si="31"/>
        <v>0.71209405669961134</v>
      </c>
    </row>
    <row r="46" spans="2:11" x14ac:dyDescent="0.3">
      <c r="D46" s="9">
        <f t="shared" si="28"/>
        <v>1.0552209675901978</v>
      </c>
      <c r="F46" s="9">
        <f t="shared" si="29"/>
        <v>128.74594742585853</v>
      </c>
      <c r="G46" s="8">
        <f t="shared" si="30"/>
        <v>1033.2866499315066</v>
      </c>
      <c r="I46" s="20">
        <f t="shared" si="31"/>
        <v>0.6909989595310545</v>
      </c>
    </row>
    <row r="47" spans="2:11" x14ac:dyDescent="0.3">
      <c r="D47" s="9">
        <f t="shared" si="28"/>
        <v>1.1563853511518418</v>
      </c>
      <c r="F47" s="9">
        <f t="shared" si="29"/>
        <v>132.55992150056719</v>
      </c>
      <c r="G47" s="8">
        <f t="shared" si="30"/>
        <v>1063.896766780822</v>
      </c>
      <c r="I47" s="20">
        <f t="shared" si="31"/>
        <v>0.6711177459072909</v>
      </c>
    </row>
    <row r="48" spans="2:11" x14ac:dyDescent="0.3">
      <c r="D48" s="9">
        <f t="shared" si="28"/>
        <v>1.2575497347134856</v>
      </c>
      <c r="F48" s="9">
        <f t="shared" si="29"/>
        <v>136.37389557527578</v>
      </c>
      <c r="G48" s="8">
        <f t="shared" si="30"/>
        <v>1094.5068836301368</v>
      </c>
      <c r="I48" s="20">
        <f t="shared" si="31"/>
        <v>0.6523485696425092</v>
      </c>
    </row>
    <row r="49" spans="4:4" x14ac:dyDescent="0.3">
      <c r="D49" s="9"/>
    </row>
    <row r="50" spans="4:4" x14ac:dyDescent="0.3">
      <c r="D50" s="9"/>
    </row>
    <row r="51" spans="4:4" x14ac:dyDescent="0.3">
      <c r="D51" s="9"/>
    </row>
  </sheetData>
  <sheetProtection sheet="1" objects="1" scenarios="1"/>
  <mergeCells count="4">
    <mergeCell ref="E20:I20"/>
    <mergeCell ref="E30:I30"/>
    <mergeCell ref="E40:G40"/>
    <mergeCell ref="B2:I2"/>
  </mergeCells>
  <pageMargins left="0.95" right="0.45" top="0.75" bottom="0.75" header="0.3" footer="0.3"/>
  <pageSetup orientation="portrait" r:id="rId1"/>
  <headerFooter>
    <oddFooter>&amp;L&amp;F&amp;R&amp;A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59"/>
  <sheetViews>
    <sheetView topLeftCell="A25" workbookViewId="0">
      <selection activeCell="D28" sqref="D28"/>
    </sheetView>
  </sheetViews>
  <sheetFormatPr defaultRowHeight="12.45" x14ac:dyDescent="0.3"/>
  <cols>
    <col min="1" max="1" width="3.4609375" customWidth="1"/>
    <col min="2" max="2" width="34.3828125" customWidth="1"/>
    <col min="3" max="3" width="17.4609375" customWidth="1"/>
    <col min="4" max="4" width="12.07421875" customWidth="1"/>
  </cols>
  <sheetData>
    <row r="1" spans="2:8" ht="17.600000000000001" x14ac:dyDescent="0.4">
      <c r="B1" s="209" t="s">
        <v>205</v>
      </c>
      <c r="C1" s="206"/>
      <c r="D1" s="206"/>
      <c r="E1" s="44"/>
      <c r="F1" s="44"/>
      <c r="G1" s="44"/>
    </row>
    <row r="2" spans="2:8" ht="15" x14ac:dyDescent="0.35">
      <c r="B2" s="45" t="s">
        <v>114</v>
      </c>
      <c r="C2" s="171">
        <f>'1StockerProjectedProfitability '!C2</f>
        <v>43713</v>
      </c>
    </row>
    <row r="3" spans="2:8" ht="15" x14ac:dyDescent="0.35">
      <c r="B3" s="49" t="s">
        <v>156</v>
      </c>
      <c r="C3" s="73" t="s">
        <v>211</v>
      </c>
      <c r="D3" s="46"/>
    </row>
    <row r="4" spans="2:8" ht="15" x14ac:dyDescent="0.35">
      <c r="B4" s="49" t="s">
        <v>118</v>
      </c>
      <c r="C4" s="73" t="s">
        <v>212</v>
      </c>
      <c r="D4" s="46"/>
    </row>
    <row r="5" spans="2:8" ht="15" x14ac:dyDescent="0.35">
      <c r="B5" s="45" t="s">
        <v>115</v>
      </c>
      <c r="C5" s="210" t="s">
        <v>216</v>
      </c>
      <c r="D5" s="212"/>
      <c r="G5" s="47"/>
      <c r="H5" s="48"/>
    </row>
    <row r="6" spans="2:8" ht="15" x14ac:dyDescent="0.35">
      <c r="B6" s="49" t="s">
        <v>116</v>
      </c>
      <c r="C6" s="72" t="s">
        <v>213</v>
      </c>
      <c r="D6" s="51"/>
    </row>
    <row r="7" spans="2:8" ht="15" x14ac:dyDescent="0.35">
      <c r="B7" s="49" t="s">
        <v>157</v>
      </c>
      <c r="C7" s="72" t="s">
        <v>143</v>
      </c>
    </row>
    <row r="8" spans="2:8" ht="15" x14ac:dyDescent="0.35">
      <c r="B8" s="49" t="s">
        <v>117</v>
      </c>
      <c r="C8" s="72" t="s">
        <v>214</v>
      </c>
      <c r="D8" s="46"/>
    </row>
    <row r="9" spans="2:8" ht="15" x14ac:dyDescent="0.35">
      <c r="B9" s="49" t="s">
        <v>208</v>
      </c>
      <c r="C9" s="210" t="s">
        <v>215</v>
      </c>
      <c r="D9" s="211"/>
    </row>
    <row r="10" spans="2:8" ht="15.45" x14ac:dyDescent="0.4">
      <c r="B10" s="1" t="s">
        <v>155</v>
      </c>
      <c r="C10" s="73"/>
    </row>
    <row r="11" spans="2:8" ht="15" x14ac:dyDescent="0.35">
      <c r="B11" s="49" t="s">
        <v>120</v>
      </c>
      <c r="D11" s="50">
        <f>'1StockerProjectedProfitability '!C4</f>
        <v>43753</v>
      </c>
    </row>
    <row r="12" spans="2:8" ht="15" x14ac:dyDescent="0.35">
      <c r="B12" s="49" t="s">
        <v>121</v>
      </c>
      <c r="C12" s="53" t="s">
        <v>122</v>
      </c>
      <c r="D12" s="54">
        <f>'1StockerProjectedProfitability '!C7</f>
        <v>500</v>
      </c>
    </row>
    <row r="13" spans="2:8" ht="15" x14ac:dyDescent="0.35">
      <c r="B13" s="49" t="s">
        <v>123</v>
      </c>
      <c r="C13" s="53" t="s">
        <v>124</v>
      </c>
      <c r="D13" s="54">
        <f>'1StockerProjectedProfitability '!I14</f>
        <v>170</v>
      </c>
    </row>
    <row r="14" spans="2:8" ht="15" x14ac:dyDescent="0.35">
      <c r="B14" s="45" t="s">
        <v>206</v>
      </c>
      <c r="C14" s="53" t="s">
        <v>125</v>
      </c>
      <c r="D14" s="76">
        <f>'1StockerProjectedProfitability '!C34</f>
        <v>1.5</v>
      </c>
    </row>
    <row r="15" spans="2:8" ht="15" x14ac:dyDescent="0.35">
      <c r="B15" s="49" t="s">
        <v>119</v>
      </c>
      <c r="C15" s="53"/>
      <c r="D15" s="50">
        <f>'1StockerProjectedProfitability '!F4</f>
        <v>43923</v>
      </c>
    </row>
    <row r="16" spans="2:8" ht="15" x14ac:dyDescent="0.35">
      <c r="B16" s="45" t="s">
        <v>161</v>
      </c>
      <c r="C16" s="47" t="s">
        <v>122</v>
      </c>
      <c r="D16" s="55">
        <f>'1StockerProjectedProfitability '!C14</f>
        <v>840</v>
      </c>
    </row>
    <row r="17" spans="2:4" ht="15" x14ac:dyDescent="0.35">
      <c r="B17" s="49" t="s">
        <v>126</v>
      </c>
      <c r="C17" s="47" t="s">
        <v>125</v>
      </c>
      <c r="D17" s="56">
        <f>'1StockerProjectedProfitability '!C16</f>
        <v>3</v>
      </c>
    </row>
    <row r="18" spans="2:4" ht="15" x14ac:dyDescent="0.35">
      <c r="B18" s="49" t="s">
        <v>127</v>
      </c>
      <c r="C18" s="47" t="s">
        <v>128</v>
      </c>
      <c r="D18" s="55">
        <f>'1StockerProjectedProfitability '!C17</f>
        <v>814.8</v>
      </c>
    </row>
    <row r="19" spans="2:4" ht="15" x14ac:dyDescent="0.35">
      <c r="B19" s="49" t="s">
        <v>129</v>
      </c>
      <c r="C19" s="47" t="s">
        <v>128</v>
      </c>
      <c r="D19" s="57">
        <f>'1StockerProjectedProfitability '!F18</f>
        <v>302.57799999999997</v>
      </c>
    </row>
    <row r="20" spans="2:4" ht="15.45" x14ac:dyDescent="0.4">
      <c r="B20" s="58" t="s">
        <v>130</v>
      </c>
      <c r="C20" s="59" t="s">
        <v>131</v>
      </c>
      <c r="D20" s="60">
        <f>'1StockerProjectedProfitability '!D17</f>
        <v>1.8517647058823528</v>
      </c>
    </row>
    <row r="21" spans="2:4" ht="15" x14ac:dyDescent="0.35">
      <c r="C21" s="43"/>
      <c r="D21" s="52"/>
    </row>
    <row r="22" spans="2:4" ht="15.45" x14ac:dyDescent="0.4">
      <c r="B22" s="1" t="s">
        <v>154</v>
      </c>
      <c r="C22" s="179" t="s">
        <v>33</v>
      </c>
      <c r="D22" s="42" t="s">
        <v>3</v>
      </c>
    </row>
    <row r="23" spans="2:4" ht="15" x14ac:dyDescent="0.35">
      <c r="B23" s="49" t="s">
        <v>144</v>
      </c>
      <c r="C23" s="61">
        <f>'1StockerProjectedProfitability '!C10</f>
        <v>142.80000000000001</v>
      </c>
      <c r="D23" s="67">
        <f>'1StockerProjectedProfitability '!C11</f>
        <v>714</v>
      </c>
    </row>
    <row r="24" spans="2:4" ht="15" x14ac:dyDescent="0.35">
      <c r="B24" s="49" t="s">
        <v>145</v>
      </c>
      <c r="C24" s="63">
        <f>'1StockerProjectedProfitability '!C23</f>
        <v>132</v>
      </c>
      <c r="D24" s="63">
        <f>'1StockerProjectedProfitability '!C36</f>
        <v>1038.2149008000001</v>
      </c>
    </row>
    <row r="25" spans="2:4" ht="15.45" x14ac:dyDescent="0.4">
      <c r="B25" s="1" t="s">
        <v>132</v>
      </c>
      <c r="C25" s="64">
        <f>C24-C23</f>
        <v>-10.800000000000011</v>
      </c>
    </row>
    <row r="26" spans="2:4" s="178" customFormat="1" ht="15.45" x14ac:dyDescent="0.4">
      <c r="B26" s="177"/>
      <c r="C26" s="176"/>
      <c r="D26" s="64"/>
    </row>
    <row r="27" spans="2:4" s="178" customFormat="1" ht="15.45" x14ac:dyDescent="0.4">
      <c r="B27" s="177" t="s">
        <v>198</v>
      </c>
      <c r="C27" s="176" t="s">
        <v>134</v>
      </c>
      <c r="D27" s="176" t="s">
        <v>151</v>
      </c>
    </row>
    <row r="28" spans="2:4" s="178" customFormat="1" ht="15" x14ac:dyDescent="0.35">
      <c r="B28" s="49" t="s">
        <v>199</v>
      </c>
      <c r="C28" s="181">
        <f>D28/'1StockerProjectedProfitability '!$D$35</f>
        <v>0.74829597657463542</v>
      </c>
      <c r="D28" s="181">
        <f>'1StockerProjectedProfitability '!F22</f>
        <v>226.4179</v>
      </c>
    </row>
    <row r="29" spans="2:4" s="178" customFormat="1" ht="15" x14ac:dyDescent="0.35">
      <c r="B29" s="49" t="s">
        <v>100</v>
      </c>
      <c r="C29" s="181">
        <f>D29/'1StockerProjectedProfitability '!$D$35</f>
        <v>0.14045965007370001</v>
      </c>
      <c r="D29" s="181">
        <f>'1StockerProjectedProfitability '!F26</f>
        <v>42.5</v>
      </c>
    </row>
    <row r="30" spans="2:4" s="178" customFormat="1" ht="15" x14ac:dyDescent="0.35">
      <c r="B30" s="49" t="s">
        <v>200</v>
      </c>
      <c r="C30" s="181">
        <f>D30/'1StockerProjectedProfitability '!$D$35</f>
        <v>4.1792612723339902E-2</v>
      </c>
      <c r="D30" s="181">
        <f>'1StockerProjectedProfitability '!F30</f>
        <v>12.64552517260274</v>
      </c>
    </row>
    <row r="31" spans="2:4" ht="15.45" x14ac:dyDescent="0.4">
      <c r="B31" s="81" t="s">
        <v>135</v>
      </c>
      <c r="C31" s="182">
        <f>D31/'1StockerProjectedProfitability '!$D$35</f>
        <v>0.93054823937167541</v>
      </c>
      <c r="D31" s="182">
        <f>SUM(D28:D30)</f>
        <v>281.56342517260276</v>
      </c>
    </row>
    <row r="32" spans="2:4" s="183" customFormat="1" x14ac:dyDescent="0.3"/>
    <row r="33" spans="2:6" s="183" customFormat="1" ht="15.45" x14ac:dyDescent="0.4">
      <c r="B33" s="81" t="s">
        <v>103</v>
      </c>
      <c r="C33" s="186"/>
      <c r="D33" s="187">
        <f>D23+D31</f>
        <v>995.56342517260282</v>
      </c>
    </row>
    <row r="34" spans="2:6" s="183" customFormat="1" ht="15.45" x14ac:dyDescent="0.4">
      <c r="B34" s="81" t="s">
        <v>137</v>
      </c>
      <c r="C34" s="186"/>
      <c r="D34" s="187">
        <f>D24-D33</f>
        <v>42.651475627397303</v>
      </c>
    </row>
    <row r="36" spans="2:6" s="180" customFormat="1" ht="15.45" x14ac:dyDescent="0.4">
      <c r="B36" s="58" t="s">
        <v>147</v>
      </c>
      <c r="C36" s="64">
        <f>'1StockerProjectedProfitability '!C45</f>
        <v>1.0715085062364089</v>
      </c>
      <c r="F36" s="25" t="s">
        <v>146</v>
      </c>
    </row>
    <row r="38" spans="2:6" ht="15.45" x14ac:dyDescent="0.4">
      <c r="B38" s="58"/>
      <c r="C38" s="179" t="s">
        <v>33</v>
      </c>
      <c r="D38" s="179" t="s">
        <v>151</v>
      </c>
    </row>
    <row r="39" spans="2:6" ht="15.45" x14ac:dyDescent="0.4">
      <c r="B39" s="58" t="s">
        <v>133</v>
      </c>
      <c r="C39" s="65">
        <f>'1StockerProjectedProfitability '!G35</f>
        <v>124.04569090762554</v>
      </c>
      <c r="D39" s="66">
        <f>'1StockerProjectedProfitability '!F35</f>
        <v>995.56342517260282</v>
      </c>
    </row>
    <row r="40" spans="2:6" ht="15.45" x14ac:dyDescent="0.4">
      <c r="B40" s="58"/>
      <c r="D40" s="179" t="s">
        <v>151</v>
      </c>
    </row>
    <row r="41" spans="2:6" ht="15.45" x14ac:dyDescent="0.4">
      <c r="B41" s="1" t="s">
        <v>149</v>
      </c>
      <c r="D41" s="64">
        <f>'1StockerProjectedProfitability '!D65</f>
        <v>-67.199999999999847</v>
      </c>
    </row>
    <row r="42" spans="2:6" ht="15.45" x14ac:dyDescent="0.4">
      <c r="B42" s="1" t="s">
        <v>150</v>
      </c>
      <c r="D42" s="64">
        <f>'1StockerProjectedProfitability '!D66</f>
        <v>109.85147562739735</v>
      </c>
    </row>
    <row r="43" spans="2:6" ht="15.45" x14ac:dyDescent="0.4">
      <c r="B43" s="81" t="s">
        <v>137</v>
      </c>
      <c r="C43" s="188"/>
      <c r="D43" s="82">
        <f>'1StockerProjectedProfitability '!F43</f>
        <v>42.651475627397303</v>
      </c>
      <c r="F43" s="71"/>
    </row>
    <row r="44" spans="2:6" ht="15.45" x14ac:dyDescent="0.4">
      <c r="C44" s="42"/>
      <c r="D44" s="68"/>
    </row>
    <row r="45" spans="2:6" ht="15.45" x14ac:dyDescent="0.4">
      <c r="B45" s="58" t="s">
        <v>141</v>
      </c>
      <c r="C45" s="59"/>
      <c r="D45" s="69">
        <f>'1StockerProjectedProfitability '!C43</f>
        <v>0.17491405076573391</v>
      </c>
      <c r="F45" s="2" t="s">
        <v>152</v>
      </c>
    </row>
    <row r="46" spans="2:6" ht="15.45" x14ac:dyDescent="0.4">
      <c r="B46" s="58" t="s">
        <v>142</v>
      </c>
      <c r="F46" s="2" t="s">
        <v>153</v>
      </c>
    </row>
    <row r="47" spans="2:6" ht="15.45" x14ac:dyDescent="0.4">
      <c r="B47" s="1" t="s">
        <v>139</v>
      </c>
      <c r="C47" s="42" t="s">
        <v>136</v>
      </c>
      <c r="D47" s="184">
        <f>'1StockerProjectedProfitability '!C49</f>
        <v>25</v>
      </c>
    </row>
    <row r="48" spans="2:6" ht="15.45" x14ac:dyDescent="0.4">
      <c r="B48" s="75" t="s">
        <v>138</v>
      </c>
      <c r="C48" s="59" t="s">
        <v>125</v>
      </c>
      <c r="D48" s="185">
        <f>'1StockerProjectedProfitability '!G49</f>
        <v>0.11907935703347122</v>
      </c>
    </row>
    <row r="49" spans="2:8" ht="15.45" x14ac:dyDescent="0.4">
      <c r="B49" s="74" t="s">
        <v>158</v>
      </c>
      <c r="C49" s="42" t="s">
        <v>33</v>
      </c>
      <c r="D49" s="64">
        <f>'1StockerProjectedProfitability '!F50</f>
        <v>127.16065294246825</v>
      </c>
    </row>
    <row r="50" spans="2:8" ht="15.45" x14ac:dyDescent="0.4">
      <c r="B50" s="1" t="s">
        <v>140</v>
      </c>
      <c r="C50" s="42" t="s">
        <v>33</v>
      </c>
      <c r="D50" s="64">
        <f>'1StockerProjectedProfitability '!F49</f>
        <v>-2.1993470575317668</v>
      </c>
      <c r="F50" s="25"/>
      <c r="G50" s="25"/>
      <c r="H50" s="25"/>
    </row>
    <row r="51" spans="2:8" ht="15" x14ac:dyDescent="0.35">
      <c r="E51" s="70"/>
      <c r="F51" s="38"/>
      <c r="G51" s="62"/>
      <c r="H51" s="6"/>
    </row>
    <row r="57" spans="2:8" x14ac:dyDescent="0.3">
      <c r="E57" s="71"/>
    </row>
    <row r="58" spans="2:8" x14ac:dyDescent="0.3">
      <c r="E58" s="71"/>
    </row>
    <row r="59" spans="2:8" x14ac:dyDescent="0.3">
      <c r="E59" s="71"/>
    </row>
  </sheetData>
  <sheetProtection sheet="1" objects="1" scenarios="1"/>
  <mergeCells count="3">
    <mergeCell ref="B1:D1"/>
    <mergeCell ref="C9:D9"/>
    <mergeCell ref="C5:D5"/>
  </mergeCells>
  <pageMargins left="0.95" right="0.45" top="0.75" bottom="0.75" header="0.3" footer="0.3"/>
  <pageSetup scale="91" orientation="portrait" r:id="rId1"/>
  <headerFoot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14"/>
  <sheetViews>
    <sheetView topLeftCell="A13" workbookViewId="0">
      <selection activeCell="E8" sqref="E8"/>
    </sheetView>
  </sheetViews>
  <sheetFormatPr defaultRowHeight="12.45" x14ac:dyDescent="0.3"/>
  <cols>
    <col min="1" max="1" width="3.69140625" customWidth="1"/>
    <col min="2" max="2" width="92.15234375" customWidth="1"/>
  </cols>
  <sheetData>
    <row r="1" spans="2:2" ht="14.15" x14ac:dyDescent="0.35">
      <c r="B1" s="16" t="s">
        <v>79</v>
      </c>
    </row>
    <row r="2" spans="2:2" ht="14.15" x14ac:dyDescent="0.35">
      <c r="B2" s="16"/>
    </row>
    <row r="3" spans="2:2" ht="110.05" customHeight="1" x14ac:dyDescent="0.3">
      <c r="B3" s="15" t="s">
        <v>202</v>
      </c>
    </row>
    <row r="4" spans="2:2" ht="130" customHeight="1" x14ac:dyDescent="0.3">
      <c r="B4" s="24" t="s">
        <v>201</v>
      </c>
    </row>
    <row r="5" spans="2:2" ht="14.15" x14ac:dyDescent="0.35">
      <c r="B5" s="16"/>
    </row>
    <row r="6" spans="2:2" ht="30" customHeight="1" x14ac:dyDescent="0.3">
      <c r="B6" s="13" t="s">
        <v>204</v>
      </c>
    </row>
    <row r="7" spans="2:2" ht="14.15" x14ac:dyDescent="0.3">
      <c r="B7" s="12"/>
    </row>
    <row r="8" spans="2:2" ht="140.05000000000001" customHeight="1" x14ac:dyDescent="0.3">
      <c r="B8" s="15" t="s">
        <v>148</v>
      </c>
    </row>
    <row r="9" spans="2:2" ht="120" customHeight="1" x14ac:dyDescent="0.3">
      <c r="B9" s="15" t="s">
        <v>9</v>
      </c>
    </row>
    <row r="10" spans="2:2" ht="60" customHeight="1" x14ac:dyDescent="0.3">
      <c r="B10" s="14" t="s">
        <v>203</v>
      </c>
    </row>
    <row r="11" spans="2:2" ht="14.15" x14ac:dyDescent="0.3">
      <c r="B11" s="14"/>
    </row>
    <row r="12" spans="2:2" ht="60" customHeight="1" x14ac:dyDescent="0.3">
      <c r="B12" s="15" t="s">
        <v>14</v>
      </c>
    </row>
    <row r="13" spans="2:2" ht="14.15" x14ac:dyDescent="0.3">
      <c r="B13" s="18"/>
    </row>
    <row r="14" spans="2:2" ht="14.15" x14ac:dyDescent="0.35">
      <c r="B14" s="17"/>
    </row>
  </sheetData>
  <sheetProtection sheet="1" objects="1" scenarios="1"/>
  <pageMargins left="0.7" right="0.7" top="0.75" bottom="0.75" header="0.3" footer="0.3"/>
  <pageSetup scale="91" orientation="portrait"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1StockerProjectedProfitability </vt:lpstr>
      <vt:lpstr>2. Sensitivity Table</vt:lpstr>
      <vt:lpstr>3. BenchmarkReport</vt:lpstr>
      <vt:lpstr>4. Definitions</vt:lpstr>
      <vt:lpstr>'1StockerProjectedProfitability '!Print_Area</vt:lpstr>
      <vt:lpstr>'2. Sensitivity Table'!Print_Area</vt:lpstr>
      <vt:lpstr>'3. BenchmarkReport'!Print_Area</vt:lpstr>
      <vt:lpstr>'4. Definitions'!Print_Area</vt:lpstr>
    </vt:vector>
  </TitlesOfParts>
  <Company>Merck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Hill, DVM</dc:creator>
  <cp:lastModifiedBy>Jim McGrann</cp:lastModifiedBy>
  <cp:lastPrinted>2019-09-05T14:22:14Z</cp:lastPrinted>
  <dcterms:created xsi:type="dcterms:W3CDTF">2015-07-22T14:52:34Z</dcterms:created>
  <dcterms:modified xsi:type="dcterms:W3CDTF">2019-09-05T15:35:09Z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-927099198</vt:i4>
  </property>
  <property fmtid="{D5CDD505-2E9C-101B-9397-08002B2CF9AE}" pid="3" name="_NewReviewCycle">
    <vt:lpwstr/>
  </property>
  <property fmtid="{D5CDD505-2E9C-101B-9397-08002B2CF9AE}" pid="4" name="_EmailSubject">
    <vt:lpwstr>Preconditioning Spreadsheet</vt:lpwstr>
  </property>
  <property fmtid="{D5CDD505-2E9C-101B-9397-08002B2CF9AE}" pid="5" name="_AuthorEmail">
    <vt:lpwstr>kevin.hill@merck.com</vt:lpwstr>
  </property>
  <property fmtid="{D5CDD505-2E9C-101B-9397-08002B2CF9AE}" pid="6" name="_AuthorEmailDisplayName">
    <vt:lpwstr>Hill, Kevin</vt:lpwstr>
  </property>
  <property fmtid="{D5CDD505-2E9C-101B-9397-08002B2CF9AE}" pid="7" name="_ReviewingToolsShownOnce">
    <vt:lpwstr/>
  </property>
</Properties>
</file>