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19 TAMU Decision Aids Additions\Update 9-5-2019\"/>
    </mc:Choice>
  </mc:AlternateContent>
  <xr:revisionPtr revIDLastSave="0" documentId="13_ncr:1_{32F569F2-487C-4D5C-B42C-127FF816816B}" xr6:coauthVersionLast="44" xr6:coauthVersionMax="44" xr10:uidLastSave="{00000000-0000-0000-0000-000000000000}"/>
  <bookViews>
    <workbookView xWindow="754" yWindow="454" windowWidth="15523" windowHeight="8203" xr2:uid="{00000000-000D-0000-FFFF-FFFF00000000}"/>
  </bookViews>
  <sheets>
    <sheet name="1. Stocker-Feeder Budget" sheetId="1" r:id="rId1"/>
    <sheet name="2. Performance Benchmark Report" sheetId="3" r:id="rId2"/>
  </sheets>
  <definedNames>
    <definedName name="_xlnm.Print_Area" localSheetId="0">'1. Stocker-Feeder Budget'!$A$1:$H$185</definedName>
    <definedName name="_xlnm.Print_Area" localSheetId="1">'2. Performance Benchmark Report'!$B$1:$E$57</definedName>
  </definedName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2" i="1" l="1"/>
  <c r="C151" i="1"/>
  <c r="D171" i="1"/>
  <c r="C171" i="1"/>
  <c r="Q139" i="1"/>
  <c r="D38" i="3"/>
  <c r="D35" i="3"/>
  <c r="D33" i="3"/>
  <c r="D7" i="3"/>
  <c r="C4" i="3"/>
  <c r="C2" i="3"/>
  <c r="I137" i="1"/>
  <c r="E33" i="1"/>
  <c r="D8" i="3" s="1"/>
  <c r="B113" i="1"/>
  <c r="F15" i="1"/>
  <c r="I53" i="1"/>
  <c r="C76" i="1" s="1"/>
  <c r="D180" i="1"/>
  <c r="H41" i="1"/>
  <c r="C23" i="1"/>
  <c r="E23" i="1" s="1"/>
  <c r="E12" i="1"/>
  <c r="D32" i="3" s="1"/>
  <c r="E45" i="1"/>
  <c r="F45" i="1" s="1"/>
  <c r="E44" i="1"/>
  <c r="E46" i="1"/>
  <c r="H46" i="1" s="1"/>
  <c r="E47" i="1"/>
  <c r="H91" i="1"/>
  <c r="K94" i="1" s="1"/>
  <c r="E91" i="1"/>
  <c r="K96" i="1" s="1"/>
  <c r="D91" i="1"/>
  <c r="K98" i="1" s="1"/>
  <c r="B81" i="1"/>
  <c r="K68" i="1"/>
  <c r="D178" i="1"/>
  <c r="G91" i="1"/>
  <c r="K92" i="1" s="1"/>
  <c r="E43" i="1"/>
  <c r="F47" i="1" l="1"/>
  <c r="H47" i="1"/>
  <c r="F46" i="1"/>
  <c r="B194" i="1"/>
  <c r="C153" i="1"/>
  <c r="E14" i="1"/>
  <c r="E17" i="1" s="1"/>
  <c r="E18" i="1" s="1"/>
  <c r="F43" i="1"/>
  <c r="E22" i="1"/>
  <c r="D36" i="3" s="1"/>
  <c r="E25" i="1"/>
  <c r="J83" i="1"/>
  <c r="C40" i="1"/>
  <c r="K50" i="1"/>
  <c r="D37" i="3"/>
  <c r="F44" i="1"/>
  <c r="B98" i="1" l="1"/>
  <c r="B99" i="1" s="1"/>
  <c r="E19" i="1"/>
  <c r="G19" i="1" s="1"/>
  <c r="F14" i="1"/>
  <c r="I161" i="1"/>
  <c r="I163" i="1" s="1"/>
  <c r="C161" i="1" s="1"/>
  <c r="C173" i="1" s="1"/>
  <c r="I162" i="1"/>
  <c r="D151" i="1"/>
  <c r="F25" i="1"/>
  <c r="E27" i="1"/>
  <c r="D34" i="3"/>
  <c r="C50" i="1"/>
  <c r="E50" i="1" s="1"/>
  <c r="D10" i="3"/>
  <c r="C180" i="1"/>
  <c r="E180" i="1" s="1"/>
  <c r="I10" i="1"/>
  <c r="B96" i="1"/>
  <c r="F50" i="1" l="1"/>
  <c r="B97" i="1"/>
  <c r="K119" i="1" s="1"/>
  <c r="L119" i="1"/>
  <c r="P86" i="1"/>
  <c r="Q86" i="1" s="1"/>
  <c r="E39" i="1"/>
  <c r="B144" i="1"/>
  <c r="P144" i="1" s="1"/>
  <c r="B105" i="1"/>
  <c r="C144" i="1" s="1"/>
  <c r="N144" i="1" s="1"/>
  <c r="B100" i="1"/>
  <c r="B107" i="1" s="1"/>
  <c r="C146" i="1" s="1"/>
  <c r="N146" i="1" s="1"/>
  <c r="D184" i="1"/>
  <c r="E28" i="1"/>
  <c r="G28" i="1" s="1"/>
  <c r="D39" i="3"/>
  <c r="D29" i="1"/>
  <c r="D182" i="1"/>
  <c r="D153" i="1"/>
  <c r="F33" i="1"/>
  <c r="B82" i="1"/>
  <c r="E30" i="1"/>
  <c r="E34" i="1" s="1"/>
  <c r="B195" i="1"/>
  <c r="B196" i="1" s="1"/>
  <c r="G26" i="1"/>
  <c r="G25" i="1"/>
  <c r="F19" i="1"/>
  <c r="G39" i="1"/>
  <c r="K53" i="1"/>
  <c r="O53" i="1"/>
  <c r="J87" i="1"/>
  <c r="J119" i="1"/>
  <c r="P84" i="1"/>
  <c r="Q84" i="1" s="1"/>
  <c r="B142" i="1"/>
  <c r="B103" i="1"/>
  <c r="C142" i="1" s="1"/>
  <c r="N142" i="1" s="1"/>
  <c r="M119" i="1"/>
  <c r="B106" i="1"/>
  <c r="C145" i="1" s="1"/>
  <c r="N145" i="1" s="1"/>
  <c r="B145" i="1"/>
  <c r="P87" i="1"/>
  <c r="Q87" i="1" s="1"/>
  <c r="B143" i="1" l="1"/>
  <c r="B104" i="1"/>
  <c r="C143" i="1" s="1"/>
  <c r="N143" i="1" s="1"/>
  <c r="P85" i="1"/>
  <c r="Q85" i="1" s="1"/>
  <c r="S144" i="1"/>
  <c r="N119" i="1"/>
  <c r="P88" i="1"/>
  <c r="Q88" i="1" s="1"/>
  <c r="B146" i="1"/>
  <c r="P146" i="1" s="1"/>
  <c r="I138" i="1"/>
  <c r="E35" i="1"/>
  <c r="E12" i="3"/>
  <c r="I139" i="1"/>
  <c r="I140" i="1"/>
  <c r="E36" i="1"/>
  <c r="F63" i="1" s="1"/>
  <c r="I168" i="1"/>
  <c r="I167" i="1"/>
  <c r="G36" i="1"/>
  <c r="C42" i="1" s="1"/>
  <c r="G33" i="1"/>
  <c r="D41" i="3" s="1"/>
  <c r="P142" i="1"/>
  <c r="S142" i="1"/>
  <c r="F39" i="1"/>
  <c r="E10" i="3"/>
  <c r="S145" i="1"/>
  <c r="P145" i="1"/>
  <c r="M87" i="1"/>
  <c r="S143" i="1"/>
  <c r="P143" i="1"/>
  <c r="S146" i="1" l="1"/>
  <c r="I169" i="1"/>
  <c r="D161" i="1" s="1"/>
  <c r="D173" i="1" s="1"/>
  <c r="D40" i="3"/>
  <c r="I42" i="1"/>
  <c r="B83" i="1"/>
  <c r="E42" i="1"/>
  <c r="J36" i="1"/>
  <c r="D16" i="3"/>
  <c r="C182" i="1"/>
  <c r="E182" i="1" s="1"/>
  <c r="D111" i="1"/>
  <c r="I11" i="1"/>
  <c r="I12" i="1" s="1"/>
  <c r="D12" i="3"/>
  <c r="D14" i="3" s="1"/>
  <c r="B189" i="1"/>
  <c r="E69" i="1" s="1"/>
  <c r="D25" i="3" s="1"/>
  <c r="G47" i="3" s="1"/>
  <c r="M96" i="1" l="1"/>
  <c r="L96" i="1" s="1"/>
  <c r="M92" i="1"/>
  <c r="L92" i="1" s="1"/>
  <c r="M98" i="1"/>
  <c r="L98" i="1" s="1"/>
  <c r="M94" i="1"/>
  <c r="L94" i="1" s="1"/>
  <c r="O52" i="1"/>
  <c r="O54" i="1" s="1"/>
  <c r="V144" i="1" s="1"/>
  <c r="K52" i="1"/>
  <c r="O144" i="1"/>
  <c r="Q144" i="1" s="1"/>
  <c r="R143" i="1"/>
  <c r="T143" i="1" s="1"/>
  <c r="O142" i="1"/>
  <c r="Q142" i="1" s="1"/>
  <c r="R144" i="1"/>
  <c r="T144" i="1" s="1"/>
  <c r="R145" i="1"/>
  <c r="T145" i="1" s="1"/>
  <c r="O143" i="1"/>
  <c r="Q143" i="1" s="1"/>
  <c r="O146" i="1"/>
  <c r="Q146" i="1" s="1"/>
  <c r="R142" i="1"/>
  <c r="T142" i="1" s="1"/>
  <c r="O145" i="1"/>
  <c r="Q145" i="1" s="1"/>
  <c r="J85" i="1"/>
  <c r="R146" i="1"/>
  <c r="T146" i="1" s="1"/>
  <c r="E48" i="1"/>
  <c r="F42" i="1"/>
  <c r="J43" i="1" s="1"/>
  <c r="D19" i="3" s="1"/>
  <c r="N98" i="1" l="1"/>
  <c r="O98" i="1" s="1"/>
  <c r="W144" i="1"/>
  <c r="K54" i="1"/>
  <c r="M85" i="1"/>
  <c r="N92" i="1"/>
  <c r="O92" i="1" s="1"/>
  <c r="J89" i="1"/>
  <c r="F48" i="1"/>
  <c r="N94" i="1"/>
  <c r="O94" i="1" s="1"/>
  <c r="N96" i="1"/>
  <c r="O96" i="1" s="1"/>
  <c r="R87" i="1" l="1"/>
  <c r="R85" i="1"/>
  <c r="R88" i="1"/>
  <c r="M89" i="1"/>
  <c r="R86" i="1"/>
  <c r="R84" i="1"/>
  <c r="K55" i="1"/>
  <c r="E55" i="1"/>
  <c r="Q138" i="1" l="1"/>
  <c r="D55" i="1"/>
  <c r="C55" i="1" s="1"/>
  <c r="F55" i="1"/>
  <c r="I55" i="1" s="1"/>
  <c r="E73" i="1"/>
  <c r="E61" i="1"/>
  <c r="K143" i="1"/>
  <c r="G143" i="1" s="1"/>
  <c r="E97" i="1"/>
  <c r="E104" i="1" s="1"/>
  <c r="G97" i="1"/>
  <c r="G104" i="1" s="1"/>
  <c r="H97" i="1"/>
  <c r="H104" i="1" s="1"/>
  <c r="F97" i="1"/>
  <c r="D97" i="1"/>
  <c r="D104" i="1" s="1"/>
  <c r="D143" i="1"/>
  <c r="I143" i="1" s="1"/>
  <c r="J143" i="1" s="1"/>
  <c r="E100" i="1"/>
  <c r="E107" i="1" s="1"/>
  <c r="H100" i="1"/>
  <c r="H107" i="1" s="1"/>
  <c r="G100" i="1"/>
  <c r="G107" i="1" s="1"/>
  <c r="K146" i="1"/>
  <c r="G146" i="1" s="1"/>
  <c r="D100" i="1"/>
  <c r="D107" i="1" s="1"/>
  <c r="F100" i="1"/>
  <c r="D146" i="1"/>
  <c r="I146" i="1" s="1"/>
  <c r="J146" i="1" s="1"/>
  <c r="D96" i="1"/>
  <c r="D103" i="1" s="1"/>
  <c r="G96" i="1"/>
  <c r="G103" i="1" s="1"/>
  <c r="F96" i="1"/>
  <c r="D142" i="1"/>
  <c r="I142" i="1" s="1"/>
  <c r="J142" i="1" s="1"/>
  <c r="E96" i="1"/>
  <c r="E103" i="1" s="1"/>
  <c r="H96" i="1"/>
  <c r="H103" i="1" s="1"/>
  <c r="K142" i="1"/>
  <c r="G142" i="1" s="1"/>
  <c r="D144" i="1"/>
  <c r="I144" i="1" s="1"/>
  <c r="J144" i="1" s="1"/>
  <c r="G98" i="1"/>
  <c r="G105" i="1" s="1"/>
  <c r="K144" i="1"/>
  <c r="G144" i="1" s="1"/>
  <c r="H98" i="1"/>
  <c r="H105" i="1" s="1"/>
  <c r="D98" i="1"/>
  <c r="D105" i="1" s="1"/>
  <c r="F98" i="1"/>
  <c r="E98" i="1"/>
  <c r="E105" i="1" s="1"/>
  <c r="H99" i="1"/>
  <c r="H106" i="1" s="1"/>
  <c r="D145" i="1"/>
  <c r="I145" i="1" s="1"/>
  <c r="J145" i="1" s="1"/>
  <c r="K145" i="1"/>
  <c r="G145" i="1" s="1"/>
  <c r="G99" i="1"/>
  <c r="G106" i="1" s="1"/>
  <c r="F99" i="1"/>
  <c r="E99" i="1"/>
  <c r="E106" i="1" s="1"/>
  <c r="D99" i="1"/>
  <c r="D106" i="1" s="1"/>
  <c r="L144" i="1" l="1"/>
  <c r="E144" i="1" s="1"/>
  <c r="L142" i="1"/>
  <c r="U142" i="1" s="1"/>
  <c r="F142" i="1" s="1"/>
  <c r="L145" i="1"/>
  <c r="E145" i="1" s="1"/>
  <c r="L146" i="1"/>
  <c r="U146" i="1" s="1"/>
  <c r="F146" i="1" s="1"/>
  <c r="F73" i="1"/>
  <c r="C184" i="1"/>
  <c r="E184" i="1" s="1"/>
  <c r="F106" i="1"/>
  <c r="M120" i="1"/>
  <c r="F103" i="1"/>
  <c r="J120" i="1"/>
  <c r="F107" i="1"/>
  <c r="N120" i="1"/>
  <c r="F104" i="1"/>
  <c r="K120" i="1"/>
  <c r="L120" i="1"/>
  <c r="F105" i="1"/>
  <c r="B111" i="1"/>
  <c r="L143" i="1"/>
  <c r="B197" i="1"/>
  <c r="B190" i="1" s="1"/>
  <c r="F62" i="1"/>
  <c r="E67" i="1"/>
  <c r="K75" i="1"/>
  <c r="L79" i="1"/>
  <c r="K71" i="1"/>
  <c r="E65" i="1"/>
  <c r="E57" i="1"/>
  <c r="F61" i="1"/>
  <c r="K57" i="1" l="1"/>
  <c r="H57" i="1"/>
  <c r="H45" i="1"/>
  <c r="H44" i="1"/>
  <c r="H43" i="1"/>
  <c r="H50" i="1"/>
  <c r="H42" i="1"/>
  <c r="H48" i="1"/>
  <c r="H55" i="1"/>
  <c r="U144" i="1"/>
  <c r="F144" i="1" s="1"/>
  <c r="E142" i="1"/>
  <c r="H61" i="1"/>
  <c r="E146" i="1"/>
  <c r="U145" i="1"/>
  <c r="F145" i="1" s="1"/>
  <c r="F92" i="1"/>
  <c r="D21" i="3"/>
  <c r="J42" i="1"/>
  <c r="J44" i="1" s="1"/>
  <c r="H36" i="1"/>
  <c r="D61" i="1" s="1"/>
  <c r="D20" i="3"/>
  <c r="C61" i="1"/>
  <c r="F90" i="1"/>
  <c r="N71" i="1"/>
  <c r="B191" i="1"/>
  <c r="E70" i="1"/>
  <c r="D26" i="3" s="1"/>
  <c r="H47" i="3" s="1"/>
  <c r="F57" i="1"/>
  <c r="E59" i="1"/>
  <c r="E143" i="1"/>
  <c r="U143" i="1"/>
  <c r="F143" i="1" s="1"/>
  <c r="F65" i="1"/>
  <c r="H39" i="1"/>
  <c r="H113" i="1" s="1"/>
  <c r="H19" i="1"/>
  <c r="H65" i="1"/>
  <c r="F67" i="1"/>
  <c r="E71" i="1"/>
  <c r="D27" i="3" s="1"/>
  <c r="I47" i="3" s="1"/>
  <c r="K70" i="1"/>
  <c r="K69" i="1" s="1"/>
  <c r="E76" i="1" s="1"/>
  <c r="E75" i="1" l="1"/>
  <c r="F59" i="1"/>
  <c r="K79" i="1"/>
  <c r="K76" i="1"/>
  <c r="D57" i="1"/>
  <c r="D23" i="3" s="1"/>
  <c r="E23" i="3"/>
  <c r="E92" i="1"/>
  <c r="G92" i="1"/>
  <c r="E113" i="1"/>
  <c r="H92" i="1"/>
  <c r="D92" i="1"/>
  <c r="K67" i="1" l="1"/>
  <c r="D29" i="3"/>
  <c r="H111" i="1"/>
  <c r="F111" i="1"/>
  <c r="D59" i="1"/>
  <c r="K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McGrann</author>
  </authors>
  <commentList>
    <comment ref="G2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With death loss adjustment but not marketing shrink. Weaning to Backgrounded weight.</t>
        </r>
      </text>
    </comment>
    <comment ref="A2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 Use the slide calculator on the next page to modify this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 Adjusted for both shrink and death loss. Weaning weight to market Payweight.</t>
        </r>
      </text>
    </comment>
    <comment ref="A4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Include facilities, feed, pasture, machinery &amp; vehicle and labor costs or grow yard cost.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If net gain is negative then cost of gain is not defined.</t>
        </r>
      </text>
    </comment>
    <comment ref="A6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Weaned Payweight times the retained Payweight sales price - the net weaned sales Payweight  price.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0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Sales price minus the cost of gain times the net gain.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1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 Net margin is the sum of market plus feeding margin.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 If ROA/ROE is positive and greater than 1 then debt cost is less than return and use is favorable.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Net income + interest paid divided by annualized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6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 Net income  divided by annualized equity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9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Net income + interest paid divided by annualized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 Net after shrink of weaning weight.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2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 Net after shrink on cattle out.  Gain is based on weaning weight adjusted for death loss.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 Net after shrink on cattle out.  Gain is based on weaning weight adjusted for death loss.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8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 xml:space="preserve"> Divided by cattle marketed to  adjust for death loss.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<sst xmlns="http://schemas.openxmlformats.org/spreadsheetml/2006/main" count="414" uniqueCount="294">
  <si>
    <t>Total Gain Based on Head Outs</t>
  </si>
  <si>
    <t>Total Sales Based on Head Outs</t>
  </si>
  <si>
    <t xml:space="preserve">Total Purchase </t>
  </si>
  <si>
    <t xml:space="preserve">          Weight</t>
  </si>
  <si>
    <t>Net Margin</t>
  </si>
  <si>
    <t>Feeding Margin</t>
  </si>
  <si>
    <t>Marketing Margin</t>
  </si>
  <si>
    <t xml:space="preserve">     $/Head</t>
  </si>
  <si>
    <t>Summary Margin Analysis*</t>
  </si>
  <si>
    <t>-</t>
  </si>
  <si>
    <t>Cattle In-Price  (Dol./Cwt)*  ------------&gt;</t>
  </si>
  <si>
    <t xml:space="preserve">Price </t>
  </si>
  <si>
    <t>Dol./Cwt.</t>
  </si>
  <si>
    <t>Calculated Cost of Gain</t>
  </si>
  <si>
    <t>Added</t>
  </si>
  <si>
    <t>Interest</t>
  </si>
  <si>
    <t>Investment</t>
  </si>
  <si>
    <t>Change</t>
  </si>
  <si>
    <t xml:space="preserve">Change in Cost of Gain </t>
  </si>
  <si>
    <t xml:space="preserve"> Total</t>
  </si>
  <si>
    <t>Net Added</t>
  </si>
  <si>
    <t>Cost of Gain</t>
  </si>
  <si>
    <t>$/Head</t>
  </si>
  <si>
    <t>Non-Cattle Costs With Cash Interest</t>
  </si>
  <si>
    <t>Total Interest</t>
  </si>
  <si>
    <t>Increase</t>
  </si>
  <si>
    <t>Input</t>
  </si>
  <si>
    <t>Decrease</t>
  </si>
  <si>
    <t>Cattle</t>
  </si>
  <si>
    <t>Change and Associated Calculated Values</t>
  </si>
  <si>
    <t/>
  </si>
  <si>
    <t>Feed &amp; Other Costs</t>
  </si>
  <si>
    <t>Different In-Price, Cost of Gain and Cattle Out-Prices*</t>
  </si>
  <si>
    <t xml:space="preserve">Interval of Change For Analysis Table </t>
  </si>
  <si>
    <t>Cash Cost</t>
  </si>
  <si>
    <t>Sales Price Necessary For Cattle Per Cwt. For</t>
  </si>
  <si>
    <t>Annualized Interest Rate</t>
  </si>
  <si>
    <t>Total Cash</t>
  </si>
  <si>
    <t>% Borrowed</t>
  </si>
  <si>
    <t>Cattle In-Price and Cost Sensitivity Analysis</t>
  </si>
  <si>
    <t xml:space="preserve">   Net Payweight Sales - Includes Market Cost Adjustments</t>
  </si>
  <si>
    <t>After Keeping Based on Head Out</t>
  </si>
  <si>
    <t xml:space="preserve">   Net Payweight Cost</t>
  </si>
  <si>
    <t>At Purchase</t>
  </si>
  <si>
    <t>Net Mkt. Wt.</t>
  </si>
  <si>
    <t>Lb./ Head</t>
  </si>
  <si>
    <t>$/Cwt.</t>
  </si>
  <si>
    <t>Net Value</t>
  </si>
  <si>
    <t>Weight</t>
  </si>
  <si>
    <t xml:space="preserve">Net Price </t>
  </si>
  <si>
    <t>Summary of Prices</t>
  </si>
  <si>
    <t>Lb./Head</t>
  </si>
  <si>
    <t>ROE/ROA</t>
  </si>
  <si>
    <t>Equity Investment</t>
  </si>
  <si>
    <t xml:space="preserve">                      Grazing or Feeding Margin</t>
  </si>
  <si>
    <t>Return on Equity %</t>
  </si>
  <si>
    <t xml:space="preserve">                      Marketing Margin</t>
  </si>
  <si>
    <t>Percent Equity</t>
  </si>
  <si>
    <t>Financial Leverage Situation Index or ROE/ROA</t>
  </si>
  <si>
    <t>$</t>
  </si>
  <si>
    <t xml:space="preserve">                                    Total Advantage (Added Revenue - Added Cost)</t>
  </si>
  <si>
    <t>Financial Performance</t>
  </si>
  <si>
    <t xml:space="preserve">Cost of Net Payweight Gain </t>
  </si>
  <si>
    <t>$/Hd.</t>
  </si>
  <si>
    <t>Total</t>
  </si>
  <si>
    <t xml:space="preserve">   Other</t>
  </si>
  <si>
    <t xml:space="preserve">     Days </t>
  </si>
  <si>
    <t>Feed</t>
  </si>
  <si>
    <t>$/Unit</t>
  </si>
  <si>
    <t>Units/Hd</t>
  </si>
  <si>
    <t>%</t>
  </si>
  <si>
    <t>Interest Rate</t>
  </si>
  <si>
    <t>%       Rate</t>
  </si>
  <si>
    <t xml:space="preserve"> % Borrowed </t>
  </si>
  <si>
    <t>Annualized</t>
  </si>
  <si>
    <t>Rate of Interest</t>
  </si>
  <si>
    <t>Gain / Hd.</t>
  </si>
  <si>
    <t>Total Sales Value (Based on Head Marketed)</t>
  </si>
  <si>
    <t xml:space="preserve">     Net Payweight Sales Revenue Per Head</t>
  </si>
  <si>
    <t>% Loss - Hd</t>
  </si>
  <si>
    <t xml:space="preserve">     Number Marketed (Net of Death Loss)</t>
  </si>
  <si>
    <t>ADG</t>
  </si>
  <si>
    <t xml:space="preserve">                    Net Gain (Deads In)</t>
  </si>
  <si>
    <t xml:space="preserve">     Marketing Costs - Per Head Charges</t>
  </si>
  <si>
    <t>% - $/Head</t>
  </si>
  <si>
    <t xml:space="preserve">     Marketing Costs - Commissions</t>
  </si>
  <si>
    <t>Lb./Head &amp; Day</t>
  </si>
  <si>
    <t xml:space="preserve">     Net Payweight Gain and Average Daily Gain</t>
  </si>
  <si>
    <t xml:space="preserve">     Net Payweight</t>
  </si>
  <si>
    <t xml:space="preserve">     Shrink When Sold </t>
  </si>
  <si>
    <t>Lb.</t>
  </si>
  <si>
    <t xml:space="preserve">     Weight Before Shrink  </t>
  </si>
  <si>
    <t xml:space="preserve">    Gross Gain &amp; ADG</t>
  </si>
  <si>
    <t>Lb./Day</t>
  </si>
  <si>
    <t xml:space="preserve">     Additional Days Held</t>
  </si>
  <si>
    <t>Input Days</t>
  </si>
  <si>
    <t>Calc. Day</t>
  </si>
  <si>
    <t>Out Wt.</t>
  </si>
  <si>
    <t xml:space="preserve">     Date Marketed</t>
  </si>
  <si>
    <t xml:space="preserve">     Purchase Costs - Per Head Charges</t>
  </si>
  <si>
    <t xml:space="preserve">     Added Shrink If Included</t>
  </si>
  <si>
    <t>Head</t>
  </si>
  <si>
    <t>Date of Analysis</t>
  </si>
  <si>
    <t>Decision Description</t>
  </si>
  <si>
    <t xml:space="preserve">    Option of Acquiring and Marketing Description</t>
  </si>
  <si>
    <t xml:space="preserve">     Date Started</t>
  </si>
  <si>
    <t xml:space="preserve">     Number of Cattle</t>
  </si>
  <si>
    <t xml:space="preserve">     Starting Weight </t>
  </si>
  <si>
    <t xml:space="preserve">     Net Payweight  Cost Per Head</t>
  </si>
  <si>
    <t xml:space="preserve">     Net Payweight Cost Per Cwt.</t>
  </si>
  <si>
    <t xml:space="preserve">    Total Cattle Cost</t>
  </si>
  <si>
    <t>Cost of Nutrition, Health and Other Costs*</t>
  </si>
  <si>
    <t xml:space="preserve">Beginning Weight </t>
  </si>
  <si>
    <t>Direct sale</t>
  </si>
  <si>
    <t>Per Head Out</t>
  </si>
  <si>
    <t>Version</t>
  </si>
  <si>
    <t>$/Head Out</t>
  </si>
  <si>
    <t>Lb./Gain</t>
  </si>
  <si>
    <t>Starting Pay Weight (Lb./Head)</t>
  </si>
  <si>
    <t>Projected Net Market Weight (Lb./Head)</t>
  </si>
  <si>
    <t>Projected Net Gain (Lb./Head)</t>
  </si>
  <si>
    <t xml:space="preserve">     Average Daily Gain - Before Shrink </t>
  </si>
  <si>
    <t xml:space="preserve">  Net ADG</t>
  </si>
  <si>
    <t xml:space="preserve">% of </t>
  </si>
  <si>
    <t>Total Cost</t>
  </si>
  <si>
    <t>Indirect Cost</t>
  </si>
  <si>
    <t>$/Hd. Day</t>
  </si>
  <si>
    <t>Net Income</t>
  </si>
  <si>
    <t>Price $/Head</t>
  </si>
  <si>
    <t>Total Finance Cost</t>
  </si>
  <si>
    <t>Total Unit Cost (TUC)</t>
  </si>
  <si>
    <t xml:space="preserve">     Gross Payweight Cost </t>
  </si>
  <si>
    <t xml:space="preserve">Description of Grazing and Feeding </t>
  </si>
  <si>
    <t>Financial Advantage of Production &amp; Margins</t>
  </si>
  <si>
    <t xml:space="preserve">   Price Necessary to Cover TUC</t>
  </si>
  <si>
    <t>Cost of Gain, In-Price of Cattle and Sales Price Necessary to Cover TUC</t>
  </si>
  <si>
    <t>Interest Cost</t>
  </si>
  <si>
    <r>
      <t>*</t>
    </r>
    <r>
      <rPr>
        <sz val="10"/>
        <rFont val="Arial"/>
        <family val="2"/>
      </rPr>
      <t>Price necessary to cover TUC</t>
    </r>
  </si>
  <si>
    <t xml:space="preserve">Financial Cost of Gain $/Cwt. </t>
  </si>
  <si>
    <t>Annualized Return on Equity - ROE</t>
  </si>
  <si>
    <t xml:space="preserve">   Percent Borrowed and Cost of Capital</t>
  </si>
  <si>
    <t>Return to Assets = Net + Cash Interest</t>
  </si>
  <si>
    <t>Necessary Sales Price per Cwt. for Cattle Out*</t>
  </si>
  <si>
    <t>Cattle In-Price  (Dol./Head) ------------&gt;</t>
  </si>
  <si>
    <t>$/Day</t>
  </si>
  <si>
    <t>$/Cwt./Hd.</t>
  </si>
  <si>
    <t xml:space="preserve">     Gross Payweight Price </t>
  </si>
  <si>
    <t>Return to Equity = Net Income</t>
  </si>
  <si>
    <t xml:space="preserve">      COG</t>
  </si>
  <si>
    <t>Days</t>
  </si>
  <si>
    <t>COG</t>
  </si>
  <si>
    <t xml:space="preserve">Adjustment </t>
  </si>
  <si>
    <t xml:space="preserve">        Total</t>
  </si>
  <si>
    <t>$/Hd. &amp; Cwt.</t>
  </si>
  <si>
    <r>
      <t xml:space="preserve">     Net Payweight Sales Revenue </t>
    </r>
    <r>
      <rPr>
        <sz val="11"/>
        <rFont val="Arial"/>
        <family val="2"/>
      </rPr>
      <t>Value Per Cwt.</t>
    </r>
  </si>
  <si>
    <t>Total Difference in Gross Revenue - Sales-Cost In</t>
  </si>
  <si>
    <t xml:space="preserve">Description of Cattle Purchased </t>
  </si>
  <si>
    <t>Total Investment</t>
  </si>
  <si>
    <t>Finance Cost</t>
  </si>
  <si>
    <t>Role back</t>
  </si>
  <si>
    <t>Sell</t>
  </si>
  <si>
    <t>Cost In</t>
  </si>
  <si>
    <r>
      <t xml:space="preserve">Direct Cost of Gain </t>
    </r>
    <r>
      <rPr>
        <b/>
        <sz val="10"/>
        <rFont val="Arial"/>
        <family val="2"/>
      </rPr>
      <t>(Non-Financial)</t>
    </r>
  </si>
  <si>
    <t>Adjusted for death loss</t>
  </si>
  <si>
    <t xml:space="preserve">$/Cwt./$/Hd. </t>
  </si>
  <si>
    <t>Base Level of Analysis</t>
  </si>
  <si>
    <t>Cost of Gain - $/Cwt.</t>
  </si>
  <si>
    <t>ROA</t>
  </si>
  <si>
    <t xml:space="preserve">    Change in Cattle In-Price $/Cwt.</t>
  </si>
  <si>
    <t>Sales Price</t>
  </si>
  <si>
    <t>*Financing cost for capital invested in cattle other cost of gain adjusted for the time on feed</t>
  </si>
  <si>
    <t>Days Gazed &amp; Fed</t>
  </si>
  <si>
    <t>Total Cattle Cost</t>
  </si>
  <si>
    <t>Lb. Per Hd. Out</t>
  </si>
  <si>
    <t>Freight to ranch</t>
  </si>
  <si>
    <t xml:space="preserve">      $/Cwt.</t>
  </si>
  <si>
    <t>$/Lb.</t>
  </si>
  <si>
    <t>Value of Gain - $/Lb.</t>
  </si>
  <si>
    <r>
      <t>Total Cost of Gain -</t>
    </r>
    <r>
      <rPr>
        <b/>
        <sz val="11"/>
        <rFont val="Arial"/>
        <family val="2"/>
      </rPr>
      <t xml:space="preserve"> per Day, Lb. or per Head</t>
    </r>
  </si>
  <si>
    <t>% Equity</t>
  </si>
  <si>
    <t>Direct Production Costs</t>
  </si>
  <si>
    <t xml:space="preserve">                                    Total Unit Cost $/Cwt </t>
  </si>
  <si>
    <t xml:space="preserve">    Target Net Income $/Head Out</t>
  </si>
  <si>
    <t>Necessary</t>
  </si>
  <si>
    <t>ROI</t>
  </si>
  <si>
    <t xml:space="preserve">Percent of  </t>
  </si>
  <si>
    <t>Net Price</t>
  </si>
  <si>
    <t xml:space="preserve">Weaned </t>
  </si>
  <si>
    <t xml:space="preserve"> Target</t>
  </si>
  <si>
    <t>Calf</t>
  </si>
  <si>
    <t xml:space="preserve">   Cost/Cwt.</t>
  </si>
  <si>
    <t xml:space="preserve">    Cost/Hd.</t>
  </si>
  <si>
    <t>Cost of Calf In</t>
  </si>
  <si>
    <t>Weaned Calf % of TUC</t>
  </si>
  <si>
    <t>Revenue/Hd.</t>
  </si>
  <si>
    <t>Total Rev.</t>
  </si>
  <si>
    <t>Non Cattle</t>
  </si>
  <si>
    <t xml:space="preserve">   Net/Head</t>
  </si>
  <si>
    <t>Sex</t>
  </si>
  <si>
    <t>Number of Cattle In</t>
  </si>
  <si>
    <t>Calculated Economic Measures</t>
  </si>
  <si>
    <t>$/Head In</t>
  </si>
  <si>
    <t>Total Payweight Sale Price</t>
  </si>
  <si>
    <t>Price Roll Back</t>
  </si>
  <si>
    <t>Value of Gain*</t>
  </si>
  <si>
    <t>*Value of Gain = ((Total Revenue-Total Cattle Cost)/Net Gain)</t>
  </si>
  <si>
    <t>Grazing &amp; Feed Cost of Gain</t>
  </si>
  <si>
    <t>Cost of Gain Per Head</t>
  </si>
  <si>
    <t>Total Cost of Gain</t>
  </si>
  <si>
    <t>Production Numbers Calculated</t>
  </si>
  <si>
    <t>Net Payweight In per Head</t>
  </si>
  <si>
    <t>Freight Shrink</t>
  </si>
  <si>
    <t>% &amp; Lb. Head</t>
  </si>
  <si>
    <t>Days Grazed and Fed - Head Out</t>
  </si>
  <si>
    <t>Days/Head</t>
  </si>
  <si>
    <t>Date Marketed</t>
  </si>
  <si>
    <r>
      <t xml:space="preserve">Head Marketed </t>
    </r>
    <r>
      <rPr>
        <sz val="10"/>
        <rFont val="Arial"/>
        <family val="2"/>
      </rPr>
      <t>(including culls)</t>
    </r>
  </si>
  <si>
    <t>Shrink % on Sales</t>
  </si>
  <si>
    <t>Net Payweight  Per Head</t>
  </si>
  <si>
    <t>Lb./Hd</t>
  </si>
  <si>
    <t>Net Gain Per Head Out</t>
  </si>
  <si>
    <t>Net Average Daily Gain</t>
  </si>
  <si>
    <t>Grazing Margin</t>
  </si>
  <si>
    <t>$/Hd.Out</t>
  </si>
  <si>
    <t>Date Started</t>
  </si>
  <si>
    <t>Angus</t>
  </si>
  <si>
    <t>Grazing &amp; Feeding Margin</t>
  </si>
  <si>
    <t>Percent Death</t>
  </si>
  <si>
    <t>$/Cwt. - Head</t>
  </si>
  <si>
    <t>Breed and % of Dominant Breed</t>
  </si>
  <si>
    <t>Payweight Cost of Cattle</t>
  </si>
  <si>
    <t>$/Lb. of Gain</t>
  </si>
  <si>
    <t xml:space="preserve">Description </t>
  </si>
  <si>
    <t>Number of Cattle Out</t>
  </si>
  <si>
    <t xml:space="preserve">                                                  Base Values</t>
  </si>
  <si>
    <t>Price of Cattle Necessary to Meet a Target Net Profit per Head Out and the Associated ROI</t>
  </si>
  <si>
    <t>Profit</t>
  </si>
  <si>
    <t>Check</t>
  </si>
  <si>
    <t xml:space="preserve">Non-Cattle </t>
  </si>
  <si>
    <t xml:space="preserve">Total </t>
  </si>
  <si>
    <t>Feed &amp; Grazing</t>
  </si>
  <si>
    <t>% of COG</t>
  </si>
  <si>
    <t>Price Slide &amp; Other Premium or Discount Calculator</t>
  </si>
  <si>
    <t>Dates</t>
  </si>
  <si>
    <t>Actual Weight Used In Slide Calculation</t>
  </si>
  <si>
    <t xml:space="preserve"> </t>
  </si>
  <si>
    <t>Cattle Price Slide Calculator-------------------</t>
  </si>
  <si>
    <t xml:space="preserve">  Base Price Before Adjusting for Weight Slide</t>
  </si>
  <si>
    <t xml:space="preserve">  Base Weight for Calculating Slide</t>
  </si>
  <si>
    <t xml:space="preserve">  Tolerance Above Base Weight</t>
  </si>
  <si>
    <t xml:space="preserve">  Tolerance Below Base Weight</t>
  </si>
  <si>
    <t xml:space="preserve">  Price Slide </t>
  </si>
  <si>
    <t>Calculation of Discounts or Premium</t>
  </si>
  <si>
    <t>Price Slide Discount (-) or Premium (+)</t>
  </si>
  <si>
    <t>Heavy</t>
  </si>
  <si>
    <t>Light</t>
  </si>
  <si>
    <t>Market Basis Adjustment If Applicable</t>
  </si>
  <si>
    <t>Slide Discount 0r Premium</t>
  </si>
  <si>
    <t>Quality Discounts (-), Premiums (+)</t>
  </si>
  <si>
    <t xml:space="preserve">  Muscling </t>
  </si>
  <si>
    <t xml:space="preserve">  Frame</t>
  </si>
  <si>
    <t xml:space="preserve">  Fill</t>
  </si>
  <si>
    <t xml:space="preserve">  Breed</t>
  </si>
  <si>
    <t xml:space="preserve">  Feed Yard or Market Premium</t>
  </si>
  <si>
    <t>Total Quality Discounts (-), Premiums (+)</t>
  </si>
  <si>
    <t xml:space="preserve">Gross Cattle Price After Discount or Premium </t>
  </si>
  <si>
    <t>% of TUC</t>
  </si>
  <si>
    <t xml:space="preserve">Graze Wheat </t>
  </si>
  <si>
    <t xml:space="preserve">   Processing and Health</t>
  </si>
  <si>
    <t>Steers</t>
  </si>
  <si>
    <t xml:space="preserve">   Hay &amp; Protein Supplement</t>
  </si>
  <si>
    <t>$/Hd./ Day</t>
  </si>
  <si>
    <t>Income + Interest</t>
  </si>
  <si>
    <t>Total Cost Including  Calf</t>
  </si>
  <si>
    <t>Stocker/Feeder Profitability Analysis</t>
  </si>
  <si>
    <t xml:space="preserve"> Stocker-Feeder Profit Projection Budget </t>
  </si>
  <si>
    <t>Purchased steers calves sell as feeders</t>
  </si>
  <si>
    <t xml:space="preserve">Annualized Return on Investment - ROI  </t>
  </si>
  <si>
    <t xml:space="preserve">Return on Operating Investment - ROI  </t>
  </si>
  <si>
    <t xml:space="preserve">    Cattle In-Price - $/Cwt.</t>
  </si>
  <si>
    <t xml:space="preserve">    Total Cost of Gain - Cents/Lb. of Gain</t>
  </si>
  <si>
    <t>Lb. Gain</t>
  </si>
  <si>
    <t>TUC - Initial Cost of Cattle</t>
  </si>
  <si>
    <t>Used an order buyer</t>
  </si>
  <si>
    <t xml:space="preserve">     Other Costs - Order Buyer %</t>
  </si>
  <si>
    <t xml:space="preserve"> Net Income or  Profit Margin</t>
  </si>
  <si>
    <t>Stocker Cattle on Leased wheat grazing</t>
  </si>
  <si>
    <t xml:space="preserve"> Net Margin or Income</t>
  </si>
  <si>
    <t xml:space="preserve">                      Net Margin or Income</t>
  </si>
  <si>
    <r>
      <t xml:space="preserve">Price Necessary to Cover TUC </t>
    </r>
    <r>
      <rPr>
        <b/>
        <sz val="10"/>
        <rFont val="Arial"/>
        <family val="2"/>
      </rPr>
      <t>(Breakeven Full Cost)</t>
    </r>
  </si>
  <si>
    <t xml:space="preserve"> Stocker-Feeder Profitability Budget Benchmark Summary</t>
  </si>
  <si>
    <t>Purchased unweaned steer calves</t>
  </si>
  <si>
    <t xml:space="preserve">   Cost of Grazing </t>
  </si>
  <si>
    <t xml:space="preserve">   Preconditioning Feed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</si>
</sst>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_);[Red]\([$$-409]#,##0.00\)"/>
    <numFmt numFmtId="166" formatCode="0.00_)"/>
    <numFmt numFmtId="167" formatCode="0.000"/>
    <numFmt numFmtId="168" formatCode="0_)"/>
    <numFmt numFmtId="169" formatCode="[$$-409]#,##0_);\([$$-409]#,##0\)"/>
    <numFmt numFmtId="170" formatCode="[$$-409]#,##0.00_);\([$$-409]#,##0.00\)"/>
    <numFmt numFmtId="171" formatCode="[$$-409]#,##0"/>
    <numFmt numFmtId="172" formatCode="&quot;$&quot;#,##0.00"/>
    <numFmt numFmtId="173" formatCode="0.0_)"/>
    <numFmt numFmtId="174" formatCode="0.00_);\(0.00\)"/>
    <numFmt numFmtId="175" formatCode="0_);\(0\)"/>
    <numFmt numFmtId="176" formatCode="&quot;$&quot;#,##0"/>
    <numFmt numFmtId="177" formatCode="0.0"/>
    <numFmt numFmtId="178" formatCode="0.0_);\(0.0\)"/>
    <numFmt numFmtId="179" formatCode="dd\-mmm\-yy_)"/>
    <numFmt numFmtId="180" formatCode="_(* #,##0_);_(* \(#,##0\);_(* &quot;-&quot;??_);_(@_)"/>
    <numFmt numFmtId="181" formatCode="[$$-409]#,##0_);[Red]\([$$-409]#,##0\)"/>
    <numFmt numFmtId="182" formatCode="0.0%"/>
    <numFmt numFmtId="183" formatCode="[$-409]d\-mmm\-yy;@"/>
  </numFmts>
  <fonts count="23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2"/>
      <name val="Courie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2"/>
      <color rgb="FF2D07B9"/>
      <name val="Arial"/>
      <family val="2"/>
    </font>
    <font>
      <b/>
      <sz val="11"/>
      <name val="Arial"/>
      <family val="2"/>
    </font>
    <font>
      <sz val="12"/>
      <color rgb="FFC00000"/>
      <name val="Arial"/>
      <family val="2"/>
    </font>
    <font>
      <b/>
      <sz val="12"/>
      <color rgb="FF2D07B9"/>
      <name val="Arial"/>
      <family val="2"/>
    </font>
    <font>
      <sz val="11"/>
      <color rgb="FF2D07B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325">
    <xf numFmtId="0" fontId="0" fillId="0" borderId="0" xfId="0"/>
    <xf numFmtId="164" fontId="0" fillId="0" borderId="0" xfId="0" applyNumberFormat="1"/>
    <xf numFmtId="3" fontId="0" fillId="0" borderId="0" xfId="0" applyNumberFormat="1"/>
    <xf numFmtId="7" fontId="0" fillId="0" borderId="0" xfId="0" applyNumberFormat="1"/>
    <xf numFmtId="165" fontId="0" fillId="0" borderId="0" xfId="0" applyNumberFormat="1"/>
    <xf numFmtId="5" fontId="0" fillId="0" borderId="0" xfId="0" applyNumberFormat="1" applyProtection="1"/>
    <xf numFmtId="0" fontId="2" fillId="0" borderId="0" xfId="0" applyFont="1"/>
    <xf numFmtId="0" fontId="0" fillId="0" borderId="0" xfId="0" applyAlignment="1">
      <alignment horizontal="fill"/>
    </xf>
    <xf numFmtId="0" fontId="2" fillId="0" borderId="0" xfId="0" applyFont="1" applyAlignment="1">
      <alignment horizontal="fill"/>
    </xf>
    <xf numFmtId="7" fontId="2" fillId="0" borderId="0" xfId="0" applyNumberFormat="1" applyFont="1" applyAlignment="1" applyProtection="1">
      <alignment horizontal="right"/>
    </xf>
    <xf numFmtId="7" fontId="2" fillId="0" borderId="0" xfId="0" applyNumberFormat="1" applyFont="1" applyProtection="1"/>
    <xf numFmtId="44" fontId="0" fillId="0" borderId="0" xfId="2" applyFont="1"/>
    <xf numFmtId="44" fontId="0" fillId="0" borderId="0" xfId="0" applyNumberFormat="1"/>
    <xf numFmtId="44" fontId="0" fillId="0" borderId="0" xfId="2" applyFont="1" applyProtection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7" fontId="2" fillId="0" borderId="0" xfId="0" applyNumberFormat="1" applyFont="1" applyAlignment="1" applyProtection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left"/>
    </xf>
    <xf numFmtId="166" fontId="4" fillId="0" borderId="1" xfId="0" applyNumberFormat="1" applyFont="1" applyBorder="1" applyProtection="1">
      <protection locked="0"/>
    </xf>
    <xf numFmtId="0" fontId="2" fillId="0" borderId="0" xfId="0" applyFont="1" applyAlignment="1"/>
    <xf numFmtId="7" fontId="2" fillId="0" borderId="0" xfId="0" applyNumberFormat="1" applyFont="1" applyAlignment="1" applyProtection="1">
      <alignment horizontal="left"/>
    </xf>
    <xf numFmtId="167" fontId="0" fillId="0" borderId="0" xfId="0" applyNumberFormat="1"/>
    <xf numFmtId="168" fontId="2" fillId="0" borderId="0" xfId="0" applyNumberFormat="1" applyFont="1" applyBorder="1" applyProtection="1"/>
    <xf numFmtId="1" fontId="0" fillId="0" borderId="0" xfId="0" applyNumberFormat="1"/>
    <xf numFmtId="168" fontId="2" fillId="0" borderId="0" xfId="0" applyNumberFormat="1" applyFont="1" applyBorder="1" applyProtection="1">
      <protection locked="0"/>
    </xf>
    <xf numFmtId="169" fontId="2" fillId="0" borderId="0" xfId="0" applyNumberFormat="1" applyFont="1"/>
    <xf numFmtId="168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164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7" fontId="4" fillId="0" borderId="1" xfId="0" applyNumberFormat="1" applyFont="1" applyBorder="1" applyProtection="1">
      <protection locked="0"/>
    </xf>
    <xf numFmtId="170" fontId="5" fillId="0" borderId="0" xfId="0" applyNumberFormat="1" applyFont="1"/>
    <xf numFmtId="2" fontId="0" fillId="0" borderId="0" xfId="0" applyNumberFormat="1"/>
    <xf numFmtId="171" fontId="3" fillId="0" borderId="0" xfId="0" applyNumberFormat="1" applyFont="1" applyProtection="1"/>
    <xf numFmtId="0" fontId="1" fillId="0" borderId="0" xfId="0" applyFont="1"/>
    <xf numFmtId="171" fontId="0" fillId="0" borderId="0" xfId="0" applyNumberFormat="1"/>
    <xf numFmtId="7" fontId="5" fillId="0" borderId="0" xfId="0" applyNumberFormat="1" applyFont="1" applyProtection="1"/>
    <xf numFmtId="0" fontId="3" fillId="0" borderId="0" xfId="0" applyFont="1" applyAlignment="1">
      <alignment horizontal="center"/>
    </xf>
    <xf numFmtId="174" fontId="2" fillId="0" borderId="0" xfId="0" applyNumberFormat="1" applyFont="1"/>
    <xf numFmtId="168" fontId="2" fillId="0" borderId="0" xfId="0" applyNumberFormat="1" applyFont="1" applyProtection="1"/>
    <xf numFmtId="0" fontId="5" fillId="0" borderId="0" xfId="0" applyFont="1" applyAlignment="1">
      <alignment horizontal="fill"/>
    </xf>
    <xf numFmtId="0" fontId="9" fillId="0" borderId="0" xfId="0" applyFont="1"/>
    <xf numFmtId="170" fontId="5" fillId="0" borderId="0" xfId="0" applyNumberFormat="1" applyFont="1" applyProtection="1"/>
    <xf numFmtId="170" fontId="2" fillId="0" borderId="0" xfId="0" applyNumberFormat="1" applyFont="1" applyProtection="1"/>
    <xf numFmtId="168" fontId="0" fillId="0" borderId="0" xfId="0" applyNumberFormat="1"/>
    <xf numFmtId="5" fontId="5" fillId="0" borderId="0" xfId="0" applyNumberFormat="1" applyFont="1" applyProtection="1"/>
    <xf numFmtId="5" fontId="2" fillId="0" borderId="0" xfId="0" applyNumberFormat="1" applyFont="1" applyProtection="1"/>
    <xf numFmtId="0" fontId="1" fillId="0" borderId="0" xfId="0" applyFont="1" applyAlignment="1">
      <alignment horizontal="center"/>
    </xf>
    <xf numFmtId="7" fontId="7" fillId="0" borderId="0" xfId="0" applyNumberFormat="1" applyFont="1" applyProtection="1">
      <protection locked="0"/>
    </xf>
    <xf numFmtId="175" fontId="7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center"/>
    </xf>
    <xf numFmtId="5" fontId="2" fillId="0" borderId="0" xfId="0" applyNumberFormat="1" applyFont="1"/>
    <xf numFmtId="174" fontId="4" fillId="2" borderId="1" xfId="0" applyNumberFormat="1" applyFont="1" applyFill="1" applyBorder="1" applyProtection="1">
      <protection locked="0"/>
    </xf>
    <xf numFmtId="168" fontId="4" fillId="2" borderId="1" xfId="0" applyNumberFormat="1" applyFont="1" applyFill="1" applyBorder="1" applyProtection="1">
      <protection locked="0"/>
    </xf>
    <xf numFmtId="176" fontId="0" fillId="0" borderId="0" xfId="0" applyNumberFormat="1"/>
    <xf numFmtId="2" fontId="2" fillId="0" borderId="0" xfId="0" applyNumberFormat="1" applyFont="1" applyProtection="1"/>
    <xf numFmtId="3" fontId="2" fillId="0" borderId="0" xfId="0" applyNumberFormat="1" applyFont="1" applyProtection="1"/>
    <xf numFmtId="177" fontId="4" fillId="2" borderId="1" xfId="0" applyNumberFormat="1" applyFont="1" applyFill="1" applyBorder="1" applyProtection="1">
      <protection locked="0"/>
    </xf>
    <xf numFmtId="7" fontId="2" fillId="0" borderId="0" xfId="0" applyNumberFormat="1" applyFont="1" applyBorder="1"/>
    <xf numFmtId="178" fontId="7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173" fontId="2" fillId="0" borderId="0" xfId="0" applyNumberFormat="1" applyFont="1"/>
    <xf numFmtId="173" fontId="4" fillId="2" borderId="1" xfId="0" applyNumberFormat="1" applyFont="1" applyFill="1" applyBorder="1" applyProtection="1">
      <protection locked="0"/>
    </xf>
    <xf numFmtId="37" fontId="2" fillId="0" borderId="0" xfId="0" applyNumberFormat="1" applyFont="1" applyProtection="1"/>
    <xf numFmtId="168" fontId="4" fillId="0" borderId="1" xfId="0" applyNumberFormat="1" applyFont="1" applyBorder="1" applyProtection="1">
      <protection locked="0"/>
    </xf>
    <xf numFmtId="1" fontId="1" fillId="0" borderId="0" xfId="0" applyNumberFormat="1" applyFont="1"/>
    <xf numFmtId="179" fontId="2" fillId="2" borderId="0" xfId="0" applyNumberFormat="1" applyFont="1" applyFill="1" applyBorder="1" applyProtection="1"/>
    <xf numFmtId="0" fontId="10" fillId="0" borderId="0" xfId="0" applyFont="1" applyProtection="1">
      <protection locked="0"/>
    </xf>
    <xf numFmtId="0" fontId="4" fillId="2" borderId="3" xfId="0" applyFont="1" applyFill="1" applyBorder="1" applyProtection="1">
      <protection locked="0"/>
    </xf>
    <xf numFmtId="7" fontId="5" fillId="0" borderId="0" xfId="0" applyNumberFormat="1" applyFont="1"/>
    <xf numFmtId="179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43" fontId="0" fillId="0" borderId="0" xfId="1" applyFont="1"/>
    <xf numFmtId="43" fontId="0" fillId="0" borderId="0" xfId="0" applyNumberFormat="1"/>
    <xf numFmtId="180" fontId="0" fillId="0" borderId="0" xfId="1" applyNumberFormat="1" applyFont="1"/>
    <xf numFmtId="180" fontId="0" fillId="0" borderId="0" xfId="0" applyNumberFormat="1"/>
    <xf numFmtId="180" fontId="2" fillId="0" borderId="0" xfId="1" applyNumberFormat="1" applyFont="1"/>
    <xf numFmtId="7" fontId="4" fillId="0" borderId="0" xfId="0" applyNumberFormat="1" applyFont="1" applyProtection="1">
      <protection locked="0"/>
    </xf>
    <xf numFmtId="165" fontId="2" fillId="0" borderId="0" xfId="0" applyNumberFormat="1" applyFont="1" applyProtection="1"/>
    <xf numFmtId="7" fontId="1" fillId="0" borderId="0" xfId="0" applyNumberFormat="1" applyFont="1"/>
    <xf numFmtId="0" fontId="5" fillId="0" borderId="0" xfId="0" quotePrefix="1" applyFont="1"/>
    <xf numFmtId="0" fontId="5" fillId="3" borderId="0" xfId="0" applyFont="1" applyFill="1"/>
    <xf numFmtId="7" fontId="5" fillId="3" borderId="0" xfId="0" applyNumberFormat="1" applyFont="1" applyFill="1" applyProtection="1"/>
    <xf numFmtId="0" fontId="5" fillId="0" borderId="8" xfId="0" applyFont="1" applyFill="1" applyBorder="1"/>
    <xf numFmtId="0" fontId="1" fillId="0" borderId="8" xfId="0" applyFont="1" applyFill="1" applyBorder="1"/>
    <xf numFmtId="0" fontId="0" fillId="0" borderId="8" xfId="0" applyFill="1" applyBorder="1"/>
    <xf numFmtId="7" fontId="5" fillId="3" borderId="0" xfId="0" applyNumberFormat="1" applyFont="1" applyFill="1" applyAlignment="1" applyProtection="1">
      <alignment horizontal="right"/>
    </xf>
    <xf numFmtId="0" fontId="13" fillId="0" borderId="0" xfId="0" applyFont="1" applyAlignment="1">
      <alignment horizontal="center"/>
    </xf>
    <xf numFmtId="0" fontId="0" fillId="0" borderId="0" xfId="0" applyFont="1"/>
    <xf numFmtId="172" fontId="0" fillId="0" borderId="0" xfId="2" applyNumberFormat="1" applyFont="1" applyProtection="1"/>
    <xf numFmtId="172" fontId="0" fillId="0" borderId="0" xfId="0" applyNumberFormat="1"/>
    <xf numFmtId="172" fontId="0" fillId="0" borderId="0" xfId="2" applyNumberFormat="1" applyFont="1"/>
    <xf numFmtId="0" fontId="13" fillId="0" borderId="0" xfId="0" applyFont="1"/>
    <xf numFmtId="2" fontId="5" fillId="0" borderId="0" xfId="0" applyNumberFormat="1" applyFont="1"/>
    <xf numFmtId="14" fontId="13" fillId="0" borderId="0" xfId="0" applyNumberFormat="1" applyFont="1" applyAlignment="1">
      <alignment horizontal="left"/>
    </xf>
    <xf numFmtId="9" fontId="0" fillId="0" borderId="0" xfId="3" applyFont="1"/>
    <xf numFmtId="0" fontId="1" fillId="0" borderId="8" xfId="0" applyFont="1" applyBorder="1" applyAlignment="1">
      <alignment horizontal="fill"/>
    </xf>
    <xf numFmtId="0" fontId="2" fillId="0" borderId="8" xfId="0" applyFont="1" applyBorder="1" applyAlignment="1">
      <alignment horizontal="fill"/>
    </xf>
    <xf numFmtId="0" fontId="0" fillId="0" borderId="8" xfId="0" applyBorder="1"/>
    <xf numFmtId="9" fontId="0" fillId="0" borderId="0" xfId="0" applyNumberFormat="1"/>
    <xf numFmtId="5" fontId="5" fillId="3" borderId="0" xfId="0" applyNumberFormat="1" applyFont="1" applyFill="1" applyProtection="1"/>
    <xf numFmtId="0" fontId="2" fillId="0" borderId="0" xfId="0" applyFont="1" applyAlignment="1">
      <alignment horizontal="center"/>
    </xf>
    <xf numFmtId="168" fontId="5" fillId="0" borderId="0" xfId="0" applyNumberFormat="1" applyFont="1"/>
    <xf numFmtId="169" fontId="5" fillId="0" borderId="0" xfId="0" applyNumberFormat="1" applyFont="1"/>
    <xf numFmtId="180" fontId="2" fillId="2" borderId="0" xfId="1" applyNumberFormat="1" applyFont="1" applyFill="1" applyBorder="1" applyProtection="1"/>
    <xf numFmtId="5" fontId="5" fillId="0" borderId="0" xfId="0" applyNumberFormat="1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fill"/>
    </xf>
    <xf numFmtId="0" fontId="9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Fill="1"/>
    <xf numFmtId="10" fontId="2" fillId="0" borderId="0" xfId="0" applyNumberFormat="1" applyFont="1" applyFill="1" applyProtection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5" fontId="5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181" fontId="5" fillId="0" borderId="0" xfId="0" applyNumberFormat="1" applyFont="1" applyFill="1" applyProtection="1"/>
    <xf numFmtId="165" fontId="5" fillId="0" borderId="0" xfId="0" applyNumberFormat="1" applyFont="1" applyFill="1" applyProtection="1"/>
    <xf numFmtId="9" fontId="0" fillId="0" borderId="0" xfId="3" applyFont="1" applyFill="1"/>
    <xf numFmtId="9" fontId="5" fillId="0" borderId="0" xfId="3" applyFont="1" applyFill="1"/>
    <xf numFmtId="0" fontId="5" fillId="0" borderId="0" xfId="0" applyFont="1" applyProtection="1">
      <protection locked="0"/>
    </xf>
    <xf numFmtId="9" fontId="5" fillId="0" borderId="0" xfId="3" applyFont="1"/>
    <xf numFmtId="173" fontId="5" fillId="0" borderId="0" xfId="0" applyNumberFormat="1" applyFont="1" applyFill="1" applyProtection="1"/>
    <xf numFmtId="5" fontId="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/>
    <xf numFmtId="171" fontId="16" fillId="0" borderId="0" xfId="0" applyNumberFormat="1" applyFont="1"/>
    <xf numFmtId="180" fontId="4" fillId="0" borderId="4" xfId="1" applyNumberFormat="1" applyFont="1" applyBorder="1" applyProtection="1">
      <protection locked="0"/>
    </xf>
    <xf numFmtId="172" fontId="0" fillId="0" borderId="0" xfId="3" applyNumberFormat="1" applyFont="1"/>
    <xf numFmtId="175" fontId="2" fillId="0" borderId="0" xfId="0" applyNumberFormat="1" applyFont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 horizontal="center"/>
      <protection locked="0"/>
    </xf>
    <xf numFmtId="175" fontId="5" fillId="0" borderId="0" xfId="0" applyNumberFormat="1" applyFont="1" applyProtection="1"/>
    <xf numFmtId="0" fontId="2" fillId="0" borderId="0" xfId="0" applyFont="1" applyAlignment="1">
      <alignment horizontal="center"/>
    </xf>
    <xf numFmtId="7" fontId="5" fillId="0" borderId="0" xfId="0" applyNumberFormat="1" applyFont="1" applyAlignment="1">
      <alignment horizontal="left"/>
    </xf>
    <xf numFmtId="7" fontId="17" fillId="0" borderId="0" xfId="0" applyNumberFormat="1" applyFont="1" applyProtection="1">
      <protection locked="0"/>
    </xf>
    <xf numFmtId="167" fontId="5" fillId="0" borderId="0" xfId="0" applyNumberFormat="1" applyFont="1"/>
    <xf numFmtId="176" fontId="5" fillId="0" borderId="0" xfId="0" applyNumberFormat="1" applyFont="1"/>
    <xf numFmtId="176" fontId="2" fillId="0" borderId="0" xfId="0" applyNumberFormat="1" applyFont="1"/>
    <xf numFmtId="0" fontId="0" fillId="0" borderId="0" xfId="0" applyFont="1" applyAlignment="1">
      <alignment horizontal="center"/>
    </xf>
    <xf numFmtId="5" fontId="2" fillId="0" borderId="9" xfId="0" applyNumberFormat="1" applyFont="1" applyBorder="1" applyProtection="1"/>
    <xf numFmtId="7" fontId="14" fillId="0" borderId="1" xfId="0" applyNumberFormat="1" applyFont="1" applyFill="1" applyBorder="1" applyProtection="1">
      <protection locked="0"/>
    </xf>
    <xf numFmtId="5" fontId="0" fillId="0" borderId="0" xfId="0" applyNumberFormat="1"/>
    <xf numFmtId="8" fontId="0" fillId="0" borderId="0" xfId="0" applyNumberFormat="1"/>
    <xf numFmtId="0" fontId="0" fillId="0" borderId="10" xfId="0" applyBorder="1"/>
    <xf numFmtId="171" fontId="1" fillId="0" borderId="0" xfId="0" applyNumberFormat="1" applyFont="1"/>
    <xf numFmtId="171" fontId="13" fillId="0" borderId="0" xfId="1" applyNumberFormat="1" applyFont="1" applyProtection="1"/>
    <xf numFmtId="8" fontId="5" fillId="0" borderId="0" xfId="0" applyNumberFormat="1" applyFont="1"/>
    <xf numFmtId="8" fontId="5" fillId="3" borderId="0" xfId="0" applyNumberFormat="1" applyFont="1" applyFill="1"/>
    <xf numFmtId="182" fontId="5" fillId="0" borderId="0" xfId="3" applyNumberFormat="1" applyFont="1"/>
    <xf numFmtId="0" fontId="5" fillId="0" borderId="0" xfId="0" applyFont="1" applyAlignment="1">
      <alignment horizontal="left"/>
    </xf>
    <xf numFmtId="6" fontId="0" fillId="0" borderId="0" xfId="0" applyNumberFormat="1" applyAlignment="1">
      <alignment horizontal="fill"/>
    </xf>
    <xf numFmtId="172" fontId="5" fillId="0" borderId="0" xfId="0" applyNumberFormat="1" applyFont="1" applyAlignment="1">
      <alignment horizontal="left"/>
    </xf>
    <xf numFmtId="0" fontId="3" fillId="0" borderId="0" xfId="4" applyFont="1"/>
    <xf numFmtId="0" fontId="3" fillId="0" borderId="0" xfId="4"/>
    <xf numFmtId="0" fontId="5" fillId="0" borderId="0" xfId="0" applyFont="1" applyAlignment="1">
      <alignment horizontal="center"/>
    </xf>
    <xf numFmtId="5" fontId="15" fillId="0" borderId="0" xfId="0" applyNumberFormat="1" applyFont="1" applyProtection="1"/>
    <xf numFmtId="0" fontId="5" fillId="3" borderId="0" xfId="0" quotePrefix="1" applyFont="1" applyFill="1"/>
    <xf numFmtId="0" fontId="1" fillId="3" borderId="0" xfId="0" applyFont="1" applyFill="1"/>
    <xf numFmtId="181" fontId="5" fillId="3" borderId="0" xfId="0" applyNumberFormat="1" applyFont="1" applyFill="1" applyProtection="1"/>
    <xf numFmtId="165" fontId="5" fillId="3" borderId="0" xfId="0" applyNumberFormat="1" applyFont="1" applyFill="1"/>
    <xf numFmtId="0" fontId="1" fillId="0" borderId="0" xfId="0" applyFont="1" applyFill="1" applyAlignment="1">
      <alignment horizontal="center"/>
    </xf>
    <xf numFmtId="5" fontId="1" fillId="0" borderId="0" xfId="0" applyNumberFormat="1" applyFont="1" applyFill="1" applyProtection="1"/>
    <xf numFmtId="9" fontId="1" fillId="0" borderId="0" xfId="3" applyFont="1" applyFill="1"/>
    <xf numFmtId="0" fontId="2" fillId="0" borderId="0" xfId="0" applyFont="1" applyFill="1" applyAlignment="1">
      <alignment horizontal="center"/>
    </xf>
    <xf numFmtId="172" fontId="5" fillId="0" borderId="0" xfId="0" applyNumberFormat="1" applyFont="1" applyFill="1"/>
    <xf numFmtId="7" fontId="1" fillId="0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7" fontId="5" fillId="0" borderId="0" xfId="0" applyNumberFormat="1" applyFont="1" applyBorder="1" applyProtection="1">
      <protection locked="0"/>
    </xf>
    <xf numFmtId="5" fontId="1" fillId="0" borderId="0" xfId="0" applyNumberFormat="1" applyFont="1" applyProtection="1"/>
    <xf numFmtId="5" fontId="0" fillId="0" borderId="0" xfId="2" applyNumberFormat="1" applyFont="1" applyProtection="1"/>
    <xf numFmtId="0" fontId="8" fillId="0" borderId="0" xfId="0" applyFont="1"/>
    <xf numFmtId="7" fontId="1" fillId="0" borderId="0" xfId="0" applyNumberFormat="1" applyFont="1" applyProtection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70" fontId="0" fillId="0" borderId="0" xfId="0" applyNumberFormat="1"/>
    <xf numFmtId="169" fontId="0" fillId="0" borderId="0" xfId="0" applyNumberFormat="1"/>
    <xf numFmtId="7" fontId="5" fillId="0" borderId="0" xfId="0" applyNumberFormat="1" applyFont="1" applyFill="1" applyAlignment="1" applyProtection="1">
      <alignment horizontal="right"/>
    </xf>
    <xf numFmtId="7" fontId="1" fillId="0" borderId="0" xfId="0" applyNumberFormat="1" applyFont="1" applyFill="1" applyAlignment="1" applyProtection="1">
      <alignment horizontal="right"/>
    </xf>
    <xf numFmtId="5" fontId="1" fillId="0" borderId="0" xfId="0" applyNumberFormat="1" applyFont="1" applyFill="1" applyAlignment="1" applyProtection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176" fontId="0" fillId="0" borderId="0" xfId="2" applyNumberFormat="1" applyFont="1" applyProtection="1"/>
    <xf numFmtId="171" fontId="1" fillId="0" borderId="0" xfId="1" applyNumberFormat="1" applyFont="1" applyProtection="1"/>
    <xf numFmtId="181" fontId="0" fillId="0" borderId="0" xfId="0" applyNumberFormat="1"/>
    <xf numFmtId="181" fontId="1" fillId="0" borderId="0" xfId="0" applyNumberFormat="1" applyFont="1"/>
    <xf numFmtId="0" fontId="16" fillId="0" borderId="0" xfId="0" applyFont="1" applyFill="1" applyBorder="1" applyAlignment="1">
      <alignment horizontal="left"/>
    </xf>
    <xf numFmtId="0" fontId="19" fillId="0" borderId="0" xfId="4" applyFont="1"/>
    <xf numFmtId="15" fontId="0" fillId="0" borderId="0" xfId="0" applyNumberForma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4" applyFont="1" applyAlignment="1">
      <alignment horizontal="center"/>
    </xf>
    <xf numFmtId="180" fontId="19" fillId="0" borderId="0" xfId="1" applyNumberFormat="1" applyFont="1" applyFill="1" applyBorder="1" applyProtection="1">
      <protection locked="0"/>
    </xf>
    <xf numFmtId="183" fontId="19" fillId="0" borderId="0" xfId="0" applyNumberFormat="1" applyFont="1" applyBorder="1" applyProtection="1">
      <protection locked="0"/>
    </xf>
    <xf numFmtId="180" fontId="19" fillId="0" borderId="0" xfId="1" applyNumberFormat="1" applyFont="1" applyFill="1" applyBorder="1" applyProtection="1"/>
    <xf numFmtId="0" fontId="5" fillId="0" borderId="0" xfId="4" applyFont="1"/>
    <xf numFmtId="0" fontId="19" fillId="0" borderId="0" xfId="0" applyFont="1" applyFill="1" applyBorder="1"/>
    <xf numFmtId="8" fontId="19" fillId="0" borderId="0" xfId="0" applyNumberFormat="1" applyFont="1"/>
    <xf numFmtId="164" fontId="19" fillId="0" borderId="0" xfId="1" applyNumberFormat="1" applyFont="1" applyFill="1" applyBorder="1" applyProtection="1">
      <protection locked="0"/>
    </xf>
    <xf numFmtId="7" fontId="19" fillId="0" borderId="0" xfId="0" applyNumberFormat="1" applyFont="1"/>
    <xf numFmtId="0" fontId="1" fillId="0" borderId="0" xfId="4" applyFont="1"/>
    <xf numFmtId="0" fontId="5" fillId="4" borderId="0" xfId="4" applyFont="1" applyFill="1"/>
    <xf numFmtId="0" fontId="5" fillId="4" borderId="0" xfId="0" applyFont="1" applyFill="1" applyAlignment="1">
      <alignment horizontal="center"/>
    </xf>
    <xf numFmtId="8" fontId="5" fillId="4" borderId="0" xfId="0" applyNumberFormat="1" applyFont="1" applyFill="1"/>
    <xf numFmtId="0" fontId="0" fillId="4" borderId="0" xfId="0" applyFill="1" applyAlignment="1">
      <alignment horizontal="center"/>
    </xf>
    <xf numFmtId="7" fontId="5" fillId="4" borderId="0" xfId="0" applyNumberFormat="1" applyFont="1" applyFill="1"/>
    <xf numFmtId="0" fontId="1" fillId="0" borderId="0" xfId="4" applyFont="1" applyAlignment="1">
      <alignment horizontal="left"/>
    </xf>
    <xf numFmtId="165" fontId="5" fillId="4" borderId="0" xfId="0" applyNumberFormat="1" applyFont="1" applyFill="1"/>
    <xf numFmtId="165" fontId="5" fillId="0" borderId="0" xfId="0" applyNumberFormat="1" applyFont="1"/>
    <xf numFmtId="0" fontId="5" fillId="4" borderId="0" xfId="4" applyFont="1" applyFill="1" applyAlignment="1">
      <alignment horizontal="center"/>
    </xf>
    <xf numFmtId="182" fontId="5" fillId="4" borderId="0" xfId="0" applyNumberFormat="1" applyFont="1" applyFill="1"/>
    <xf numFmtId="3" fontId="19" fillId="0" borderId="0" xfId="0" applyNumberFormat="1" applyFont="1" applyBorder="1" applyProtection="1"/>
    <xf numFmtId="2" fontId="1" fillId="0" borderId="0" xfId="3" applyNumberFormat="1" applyFont="1" applyBorder="1" applyProtection="1"/>
    <xf numFmtId="0" fontId="1" fillId="0" borderId="0" xfId="5" applyFont="1" applyAlignment="1">
      <alignment horizontal="center"/>
    </xf>
    <xf numFmtId="182" fontId="19" fillId="0" borderId="0" xfId="3" applyNumberFormat="1" applyFont="1" applyBorder="1" applyProtection="1"/>
    <xf numFmtId="168" fontId="19" fillId="0" borderId="0" xfId="0" applyNumberFormat="1" applyFont="1" applyFill="1" applyBorder="1" applyProtection="1"/>
    <xf numFmtId="180" fontId="19" fillId="0" borderId="0" xfId="1" applyNumberFormat="1" applyFont="1" applyProtection="1"/>
    <xf numFmtId="180" fontId="19" fillId="0" borderId="0" xfId="0" applyNumberFormat="1" applyFont="1" applyProtection="1"/>
    <xf numFmtId="2" fontId="5" fillId="4" borderId="0" xfId="0" applyNumberFormat="1" applyFont="1" applyFill="1" applyProtection="1"/>
    <xf numFmtId="0" fontId="19" fillId="0" borderId="0" xfId="0" applyFont="1" applyFill="1" applyBorder="1" applyProtection="1">
      <protection locked="0"/>
    </xf>
    <xf numFmtId="183" fontId="14" fillId="0" borderId="0" xfId="0" applyNumberFormat="1" applyFont="1" applyBorder="1" applyProtection="1">
      <protection locked="0"/>
    </xf>
    <xf numFmtId="9" fontId="14" fillId="0" borderId="0" xfId="3" applyFont="1" applyProtection="1">
      <protection locked="0"/>
    </xf>
    <xf numFmtId="0" fontId="14" fillId="0" borderId="0" xfId="0" applyFont="1" applyProtection="1">
      <protection locked="0"/>
    </xf>
    <xf numFmtId="165" fontId="19" fillId="0" borderId="0" xfId="0" applyNumberFormat="1" applyFont="1"/>
    <xf numFmtId="165" fontId="1" fillId="0" borderId="0" xfId="0" applyNumberFormat="1" applyFont="1"/>
    <xf numFmtId="180" fontId="19" fillId="0" borderId="0" xfId="1" applyNumberFormat="1" applyFont="1" applyBorder="1" applyProtection="1"/>
    <xf numFmtId="182" fontId="1" fillId="0" borderId="0" xfId="3" applyNumberFormat="1" applyFont="1" applyBorder="1" applyProtection="1"/>
    <xf numFmtId="183" fontId="1" fillId="0" borderId="0" xfId="0" applyNumberFormat="1" applyFont="1" applyFill="1" applyBorder="1" applyProtection="1"/>
    <xf numFmtId="0" fontId="5" fillId="3" borderId="0" xfId="0" applyFont="1" applyFill="1" applyAlignment="1">
      <alignment horizontal="center"/>
    </xf>
    <xf numFmtId="0" fontId="5" fillId="3" borderId="0" xfId="4" applyFont="1" applyFill="1"/>
    <xf numFmtId="3" fontId="5" fillId="3" borderId="0" xfId="0" applyNumberFormat="1" applyFont="1" applyFill="1" applyBorder="1" applyProtection="1"/>
    <xf numFmtId="0" fontId="1" fillId="0" borderId="0" xfId="0" applyFont="1" applyFill="1" applyBorder="1"/>
    <xf numFmtId="3" fontId="19" fillId="0" borderId="0" xfId="0" applyNumberFormat="1" applyFont="1" applyBorder="1" applyAlignment="1" applyProtection="1">
      <alignment horizontal="right"/>
    </xf>
    <xf numFmtId="3" fontId="19" fillId="0" borderId="0" xfId="0" applyNumberFormat="1" applyFont="1" applyBorder="1" applyAlignment="1" applyProtection="1">
      <alignment horizontal="right"/>
      <protection locked="0"/>
    </xf>
    <xf numFmtId="0" fontId="20" fillId="0" borderId="0" xfId="0" applyFont="1"/>
    <xf numFmtId="182" fontId="0" fillId="0" borderId="0" xfId="0" applyNumberFormat="1"/>
    <xf numFmtId="5" fontId="5" fillId="0" borderId="0" xfId="0" applyNumberFormat="1" applyFont="1" applyFill="1" applyAlignment="1" applyProtection="1">
      <alignment horizontal="right"/>
    </xf>
    <xf numFmtId="181" fontId="5" fillId="0" borderId="0" xfId="0" applyNumberFormat="1" applyFont="1"/>
    <xf numFmtId="182" fontId="0" fillId="0" borderId="0" xfId="3" applyNumberFormat="1" applyFont="1"/>
    <xf numFmtId="182" fontId="5" fillId="0" borderId="0" xfId="0" applyNumberFormat="1" applyFont="1"/>
    <xf numFmtId="5" fontId="5" fillId="0" borderId="0" xfId="0" applyNumberFormat="1" applyFont="1" applyAlignment="1">
      <alignment horizontal="left"/>
    </xf>
    <xf numFmtId="10" fontId="1" fillId="0" borderId="0" xfId="3" applyNumberFormat="1" applyFont="1"/>
    <xf numFmtId="172" fontId="4" fillId="0" borderId="1" xfId="0" applyNumberFormat="1" applyFont="1" applyBorder="1" applyProtection="1">
      <protection locked="0"/>
    </xf>
    <xf numFmtId="172" fontId="5" fillId="3" borderId="0" xfId="0" applyNumberFormat="1" applyFont="1" applyFill="1" applyProtection="1"/>
    <xf numFmtId="7" fontId="5" fillId="3" borderId="0" xfId="0" applyNumberFormat="1" applyFont="1" applyFill="1"/>
    <xf numFmtId="176" fontId="1" fillId="0" borderId="0" xfId="0" applyNumberFormat="1" applyFont="1"/>
    <xf numFmtId="5" fontId="16" fillId="0" borderId="0" xfId="0" applyNumberFormat="1" applyFont="1"/>
    <xf numFmtId="0" fontId="5" fillId="0" borderId="0" xfId="0" applyFont="1" applyAlignment="1">
      <alignment horizontal="center"/>
    </xf>
    <xf numFmtId="9" fontId="0" fillId="0" borderId="0" xfId="3" applyFont="1" applyAlignment="1">
      <alignment horizontal="left"/>
    </xf>
    <xf numFmtId="0" fontId="1" fillId="0" borderId="0" xfId="0" applyFont="1" applyBorder="1" applyAlignment="1">
      <alignment horizontal="fill"/>
    </xf>
    <xf numFmtId="15" fontId="1" fillId="0" borderId="0" xfId="0" applyNumberFormat="1" applyFont="1"/>
    <xf numFmtId="168" fontId="21" fillId="0" borderId="0" xfId="0" applyNumberFormat="1" applyFont="1" applyBorder="1" applyProtection="1"/>
    <xf numFmtId="37" fontId="4" fillId="0" borderId="1" xfId="0" applyNumberFormat="1" applyFont="1" applyBorder="1" applyProtection="1">
      <protection locked="0"/>
    </xf>
    <xf numFmtId="7" fontId="0" fillId="0" borderId="0" xfId="0" applyNumberFormat="1" applyProtection="1"/>
    <xf numFmtId="7" fontId="21" fillId="2" borderId="0" xfId="0" applyNumberFormat="1" applyFont="1" applyFill="1" applyProtection="1"/>
    <xf numFmtId="172" fontId="1" fillId="0" borderId="0" xfId="0" applyNumberFormat="1" applyFont="1"/>
    <xf numFmtId="0" fontId="7" fillId="0" borderId="0" xfId="0" applyFont="1" applyProtection="1">
      <protection locked="0"/>
    </xf>
    <xf numFmtId="172" fontId="5" fillId="0" borderId="0" xfId="0" applyNumberFormat="1" applyFont="1" applyProtection="1"/>
    <xf numFmtId="0" fontId="1" fillId="0" borderId="8" xfId="0" applyFont="1" applyBorder="1"/>
    <xf numFmtId="0" fontId="3" fillId="0" borderId="10" xfId="4" applyBorder="1"/>
    <xf numFmtId="5" fontId="3" fillId="0" borderId="10" xfId="4" applyNumberFormat="1" applyBorder="1" applyProtection="1"/>
    <xf numFmtId="176" fontId="16" fillId="0" borderId="0" xfId="0" applyNumberFormat="1" applyFont="1"/>
    <xf numFmtId="176" fontId="22" fillId="0" borderId="0" xfId="3" applyNumberFormat="1" applyFont="1" applyFill="1"/>
    <xf numFmtId="176" fontId="22" fillId="0" borderId="0" xfId="2" applyNumberFormat="1" applyFont="1"/>
    <xf numFmtId="172" fontId="16" fillId="0" borderId="0" xfId="2" applyNumberFormat="1" applyFont="1" applyProtection="1"/>
    <xf numFmtId="172" fontId="16" fillId="0" borderId="0" xfId="0" applyNumberFormat="1" applyFont="1"/>
    <xf numFmtId="176" fontId="22" fillId="0" borderId="0" xfId="0" applyNumberFormat="1" applyFont="1"/>
    <xf numFmtId="172" fontId="1" fillId="0" borderId="0" xfId="0" applyNumberFormat="1" applyFont="1" applyFill="1" applyProtection="1"/>
    <xf numFmtId="173" fontId="5" fillId="3" borderId="0" xfId="0" applyNumberFormat="1" applyFont="1" applyFill="1" applyProtection="1"/>
    <xf numFmtId="8" fontId="2" fillId="0" borderId="0" xfId="0" applyNumberFormat="1" applyFont="1" applyProtection="1"/>
    <xf numFmtId="172" fontId="5" fillId="0" borderId="0" xfId="0" applyNumberFormat="1" applyFont="1"/>
    <xf numFmtId="8" fontId="5" fillId="3" borderId="0" xfId="0" applyNumberFormat="1" applyFont="1" applyFill="1" applyProtection="1"/>
    <xf numFmtId="0" fontId="17" fillId="0" borderId="0" xfId="0" applyFont="1" applyProtection="1">
      <protection locked="0"/>
    </xf>
    <xf numFmtId="166" fontId="5" fillId="0" borderId="0" xfId="0" applyNumberFormat="1" applyFont="1"/>
    <xf numFmtId="0" fontId="14" fillId="0" borderId="0" xfId="0" applyFont="1" applyAlignment="1" applyProtection="1">
      <alignment horizontal="center" vertical="center"/>
      <protection locked="0"/>
    </xf>
    <xf numFmtId="7" fontId="14" fillId="0" borderId="0" xfId="0" applyNumberFormat="1" applyFont="1" applyProtection="1">
      <protection locked="0"/>
    </xf>
    <xf numFmtId="176" fontId="1" fillId="0" borderId="0" xfId="2" applyNumberFormat="1" applyFont="1" applyProtection="1"/>
    <xf numFmtId="176" fontId="5" fillId="0" borderId="0" xfId="2" applyNumberFormat="1" applyFont="1"/>
    <xf numFmtId="165" fontId="5" fillId="3" borderId="0" xfId="0" applyNumberFormat="1" applyFont="1" applyFill="1" applyProtection="1"/>
    <xf numFmtId="0" fontId="6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18" fillId="0" borderId="12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4" fillId="2" borderId="15" xfId="0" applyFont="1" applyFill="1" applyBorder="1" applyProtection="1">
      <protection locked="0"/>
    </xf>
    <xf numFmtId="179" fontId="4" fillId="2" borderId="11" xfId="0" applyNumberFormat="1" applyFont="1" applyFill="1" applyBorder="1" applyProtection="1">
      <protection locked="0"/>
    </xf>
    <xf numFmtId="7" fontId="5" fillId="0" borderId="8" xfId="0" applyNumberFormat="1" applyFont="1" applyFill="1" applyBorder="1" applyProtection="1"/>
    <xf numFmtId="175" fontId="1" fillId="0" borderId="0" xfId="0" applyNumberFormat="1" applyFont="1" applyProtection="1"/>
    <xf numFmtId="0" fontId="6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4" fillId="2" borderId="3" xfId="0" applyFont="1" applyFill="1" applyBorder="1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4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Alignment="1" applyProtection="1">
      <protection locked="0"/>
    </xf>
  </cellXfs>
  <cellStyles count="6">
    <cellStyle name="Comma" xfId="1" builtinId="3"/>
    <cellStyle name="Currency" xfId="2" builtinId="4"/>
    <cellStyle name="Normal" xfId="0" builtinId="0"/>
    <cellStyle name="Normal_3. Closeout Summary" xfId="5" xr:uid="{00000000-0005-0000-0000-000003000000}"/>
    <cellStyle name="Normal_Sheet1" xfId="4" xr:uid="{00000000-0005-0000-0000-000004000000}"/>
    <cellStyle name="Percent" xfId="3" builtinId="5"/>
  </cellStyles>
  <dxfs count="0"/>
  <tableStyles count="0" defaultTableStyle="TableStyleMedium9" defaultPivotStyle="PivotStyleLight16"/>
  <colors>
    <mruColors>
      <color rgb="FFCCFFCC"/>
      <color rgb="FF2D0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Sales Price Required to Cover TUC for Cost of Cattle In - $/Cwt  </a:t>
            </a:r>
          </a:p>
          <a:p>
            <a:pPr>
              <a:defRPr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16977337110481588"/>
          <c:y val="1.6393442622950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40797662331868"/>
          <c:y val="0.22720098102491287"/>
          <c:w val="0.87187729658792656"/>
          <c:h val="0.5507024642752989"/>
        </c:manualLayout>
      </c:layout>
      <c:lineChart>
        <c:grouping val="standard"/>
        <c:varyColors val="0"/>
        <c:ser>
          <c:idx val="0"/>
          <c:order val="0"/>
          <c:tx>
            <c:strRef>
              <c:f>'1. Stocker-Feeder Budget'!$I$120</c:f>
              <c:strCache>
                <c:ptCount val="1"/>
                <c:pt idx="0">
                  <c:v>Sales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Stocker-Feeder Budget'!$J$119:$N$119</c:f>
              <c:numCache>
                <c:formatCode>"$"#,##0.00</c:formatCode>
                <c:ptCount val="5"/>
                <c:pt idx="0">
                  <c:v>122.79999999999998</c:v>
                </c:pt>
                <c:pt idx="1">
                  <c:v>132.79999999999998</c:v>
                </c:pt>
                <c:pt idx="2">
                  <c:v>142.79999999999998</c:v>
                </c:pt>
                <c:pt idx="3">
                  <c:v>152.79999999999998</c:v>
                </c:pt>
                <c:pt idx="4">
                  <c:v>162.79999999999998</c:v>
                </c:pt>
              </c:numCache>
            </c:numRef>
          </c:cat>
          <c:val>
            <c:numRef>
              <c:f>'1. Stocker-Feeder Budget'!$J$120:$N$120</c:f>
              <c:numCache>
                <c:formatCode>"$"#,##0.00</c:formatCode>
                <c:ptCount val="5"/>
                <c:pt idx="0">
                  <c:v>116.46327668272666</c:v>
                </c:pt>
                <c:pt idx="1">
                  <c:v>122.93877505876536</c:v>
                </c:pt>
                <c:pt idx="2">
                  <c:v>129.41427343480407</c:v>
                </c:pt>
                <c:pt idx="3">
                  <c:v>135.88977181084277</c:v>
                </c:pt>
                <c:pt idx="4">
                  <c:v>142.36527018688147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B-4164-B113-477AAFE582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34872168"/>
        <c:axId val="234877264"/>
      </c:lineChart>
      <c:catAx>
        <c:axId val="234872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Cost of Feeder In $/Cwt.</a:t>
                </a:r>
              </a:p>
            </c:rich>
          </c:tx>
          <c:layout>
            <c:manualLayout>
              <c:xMode val="edge"/>
              <c:yMode val="edge"/>
              <c:x val="0.44770575061765078"/>
              <c:y val="0.84084858654963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4877264"/>
        <c:crosses val="autoZero"/>
        <c:auto val="1"/>
        <c:lblAlgn val="ctr"/>
        <c:lblOffset val="100"/>
        <c:noMultiLvlLbl val="0"/>
      </c:catAx>
      <c:valAx>
        <c:axId val="23487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Sales Price - $/Cwt.</a:t>
                </a:r>
              </a:p>
            </c:rich>
          </c:tx>
          <c:layout>
            <c:manualLayout>
              <c:xMode val="edge"/>
              <c:yMode val="edge"/>
              <c:x val="2.6898857269009599E-3"/>
              <c:y val="0.31164733053308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4872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Projected</a:t>
            </a:r>
            <a:r>
              <a:rPr lang="en-US" b="1" baseline="0">
                <a:solidFill>
                  <a:sysClr val="windowText" lastClr="000000"/>
                </a:solidFill>
              </a:rPr>
              <a:t> Net Profit Margin - </a:t>
            </a:r>
            <a:r>
              <a:rPr lang="en-US" b="1">
                <a:solidFill>
                  <a:sysClr val="windowText" lastClr="000000"/>
                </a:solidFill>
              </a:rPr>
              <a:t>$/Hd.Out</a:t>
            </a:r>
          </a:p>
        </c:rich>
      </c:tx>
      <c:layout>
        <c:manualLayout>
          <c:xMode val="edge"/>
          <c:yMode val="edge"/>
          <c:x val="0.16520768994784746"/>
          <c:y val="2.6631158455392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Performance Benchmark Report'!$F$47</c:f>
              <c:strCache>
                <c:ptCount val="1"/>
                <c:pt idx="0">
                  <c:v>$/Hd.Out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 Performance Benchmark Report'!$G$46:$I$46</c:f>
              <c:strCache>
                <c:ptCount val="3"/>
                <c:pt idx="0">
                  <c:v>Marketing Margin</c:v>
                </c:pt>
                <c:pt idx="1">
                  <c:v>Grazing Margin</c:v>
                </c:pt>
                <c:pt idx="2">
                  <c:v> Net Income or  Profit Margin</c:v>
                </c:pt>
              </c:strCache>
            </c:strRef>
          </c:cat>
          <c:val>
            <c:numRef>
              <c:f>'2. Performance Benchmark Report'!$G$47:$I$47</c:f>
              <c:numCache>
                <c:formatCode>"$"#,##0.00_);\("$"#,##0.00\)</c:formatCode>
                <c:ptCount val="3"/>
                <c:pt idx="0" formatCode="&quot;$&quot;#,##0.00_);[Red]\(&quot;$&quot;#,##0.00\)">
                  <c:v>-68.846342660775662</c:v>
                </c:pt>
                <c:pt idx="1">
                  <c:v>89.493472712927641</c:v>
                </c:pt>
                <c:pt idx="2" formatCode="[$$-409]#,##0.00_);[Red]\([$$-409]#,##0.00\)">
                  <c:v>20.647130052152104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6-4DE5-9E0A-7AAFBDA99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865504"/>
        <c:axId val="234867856"/>
      </c:barChart>
      <c:catAx>
        <c:axId val="2348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67856"/>
        <c:crosses val="autoZero"/>
        <c:auto val="1"/>
        <c:lblAlgn val="ctr"/>
        <c:lblOffset val="100"/>
        <c:noMultiLvlLbl val="0"/>
      </c:catAx>
      <c:valAx>
        <c:axId val="23486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$/Head Out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65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114</xdr:row>
      <xdr:rowOff>50800</xdr:rowOff>
    </xdr:from>
    <xdr:to>
      <xdr:col>7</xdr:col>
      <xdr:colOff>787400</xdr:colOff>
      <xdr:row>132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177610</xdr:colOff>
      <xdr:row>0</xdr:row>
      <xdr:rowOff>192887</xdr:rowOff>
    </xdr:from>
    <xdr:to>
      <xdr:col>7</xdr:col>
      <xdr:colOff>100263</xdr:colOff>
      <xdr:row>3</xdr:row>
      <xdr:rowOff>183338</xdr:rowOff>
    </xdr:to>
    <xdr:pic>
      <xdr:nvPicPr>
        <xdr:cNvPr id="4" name="Picture 3" descr="TAMAgEX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6572" y="192887"/>
          <a:ext cx="1836248" cy="626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146051</xdr:colOff>
      <xdr:row>42</xdr:row>
      <xdr:rowOff>1</xdr:rowOff>
    </xdr:from>
    <xdr:to>
      <xdr:col>4</xdr:col>
      <xdr:colOff>793750</xdr:colOff>
      <xdr:row>56</xdr:row>
      <xdr:rowOff>158751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7"/>
  <sheetViews>
    <sheetView tabSelected="1" topLeftCell="A46" zoomScale="95" zoomScaleNormal="95" workbookViewId="0">
      <selection activeCell="C42" sqref="C42"/>
    </sheetView>
  </sheetViews>
  <sheetFormatPr defaultRowHeight="15" x14ac:dyDescent="0.35"/>
  <cols>
    <col min="1" max="1" width="39.6875" customWidth="1"/>
    <col min="2" max="2" width="10.6875" customWidth="1"/>
    <col min="3" max="3" width="11" customWidth="1"/>
    <col min="4" max="4" width="15" bestFit="1" customWidth="1"/>
    <col min="5" max="5" width="12.875" customWidth="1"/>
    <col min="6" max="6" width="12.4375" bestFit="1" customWidth="1"/>
    <col min="7" max="7" width="9.5625" bestFit="1" customWidth="1"/>
    <col min="8" max="8" width="10" customWidth="1"/>
    <col min="9" max="9" width="12.4375" bestFit="1" customWidth="1"/>
    <col min="10" max="10" width="14.6875" customWidth="1"/>
    <col min="11" max="11" width="12.6875" customWidth="1"/>
    <col min="12" max="12" width="11" customWidth="1"/>
    <col min="13" max="13" width="11.5625" customWidth="1"/>
    <col min="14" max="14" width="12.3125" customWidth="1"/>
    <col min="15" max="15" width="10.6875" customWidth="1"/>
    <col min="16" max="16" width="10.3125" customWidth="1"/>
    <col min="17" max="17" width="12.625" customWidth="1"/>
    <col min="18" max="18" width="11.125" customWidth="1"/>
    <col min="19" max="19" width="11.875" customWidth="1"/>
    <col min="20" max="20" width="11.5625" customWidth="1"/>
    <col min="22" max="22" width="14.5625" bestFit="1" customWidth="1"/>
    <col min="23" max="23" width="10.3125" customWidth="1"/>
  </cols>
  <sheetData>
    <row r="1" spans="1:11" ht="17.600000000000001" x14ac:dyDescent="0.4">
      <c r="A1" s="311" t="s">
        <v>275</v>
      </c>
      <c r="B1" s="311"/>
      <c r="C1" s="311"/>
      <c r="D1" s="311"/>
      <c r="E1" s="311"/>
      <c r="F1" s="311"/>
      <c r="G1" s="311"/>
      <c r="H1" s="312"/>
    </row>
    <row r="2" spans="1:11" ht="15" customHeight="1" x14ac:dyDescent="0.4">
      <c r="A2" s="295"/>
      <c r="B2" s="295"/>
      <c r="C2" s="295"/>
      <c r="D2" s="295"/>
      <c r="E2" s="295"/>
      <c r="F2" s="295"/>
      <c r="G2" s="295"/>
      <c r="H2" s="296"/>
      <c r="J2" s="6" t="s">
        <v>115</v>
      </c>
      <c r="K2" s="102">
        <v>43709</v>
      </c>
    </row>
    <row r="3" spans="1:11" ht="17.600000000000001" x14ac:dyDescent="0.4">
      <c r="A3" s="297" t="s">
        <v>103</v>
      </c>
      <c r="B3" s="302" t="s">
        <v>286</v>
      </c>
      <c r="C3" s="303"/>
      <c r="D3" s="304"/>
      <c r="E3" s="298"/>
      <c r="F3" s="298"/>
      <c r="G3" s="298"/>
      <c r="H3" s="299"/>
    </row>
    <row r="4" spans="1:11" x14ac:dyDescent="0.35">
      <c r="A4" s="109"/>
      <c r="B4" s="302" t="s">
        <v>283</v>
      </c>
      <c r="C4" s="305"/>
      <c r="D4" s="306"/>
      <c r="E4" s="300"/>
      <c r="F4" s="301"/>
      <c r="G4" s="301"/>
      <c r="H4" s="126"/>
    </row>
    <row r="5" spans="1:11" x14ac:dyDescent="0.35">
      <c r="A5" s="38"/>
      <c r="B5" s="96" t="s">
        <v>102</v>
      </c>
      <c r="C5" s="38"/>
      <c r="D5" s="38"/>
      <c r="E5" s="308">
        <v>43713</v>
      </c>
      <c r="F5" s="38"/>
      <c r="G5" s="38"/>
    </row>
    <row r="6" spans="1:11" x14ac:dyDescent="0.35">
      <c r="A6" s="38" t="s">
        <v>156</v>
      </c>
      <c r="B6" s="75"/>
      <c r="C6" s="75"/>
      <c r="D6" s="76" t="s">
        <v>291</v>
      </c>
      <c r="E6" s="307"/>
      <c r="G6" s="6"/>
    </row>
    <row r="7" spans="1:11" x14ac:dyDescent="0.35">
      <c r="A7" s="38" t="s">
        <v>104</v>
      </c>
      <c r="B7" s="38"/>
      <c r="C7" s="38"/>
      <c r="D7" s="76" t="s">
        <v>113</v>
      </c>
      <c r="E7" s="79"/>
      <c r="F7" s="6"/>
      <c r="G7" s="6"/>
    </row>
    <row r="8" spans="1:11" x14ac:dyDescent="0.35">
      <c r="A8" s="38" t="s">
        <v>105</v>
      </c>
      <c r="B8" s="38"/>
      <c r="C8" s="38"/>
      <c r="D8" s="6"/>
      <c r="E8" s="78">
        <v>43753</v>
      </c>
      <c r="F8" s="6"/>
      <c r="G8" s="6"/>
    </row>
    <row r="9" spans="1:11" x14ac:dyDescent="0.35">
      <c r="A9" s="38" t="s">
        <v>106</v>
      </c>
      <c r="B9" s="51" t="s">
        <v>101</v>
      </c>
      <c r="C9" s="51"/>
      <c r="D9" s="6"/>
      <c r="E9" s="138">
        <v>100</v>
      </c>
      <c r="F9" s="6"/>
      <c r="G9" s="6"/>
    </row>
    <row r="10" spans="1:11" x14ac:dyDescent="0.35">
      <c r="A10" s="38" t="s">
        <v>107</v>
      </c>
      <c r="B10" s="51" t="s">
        <v>90</v>
      </c>
      <c r="C10" s="51"/>
      <c r="D10" s="6"/>
      <c r="E10" s="72">
        <v>500</v>
      </c>
      <c r="F10" s="6"/>
      <c r="G10" s="6"/>
      <c r="I10" s="3">
        <f>E18</f>
        <v>142.79999999999998</v>
      </c>
      <c r="J10" t="s">
        <v>161</v>
      </c>
    </row>
    <row r="11" spans="1:11" x14ac:dyDescent="0.35">
      <c r="A11" s="38" t="s">
        <v>100</v>
      </c>
      <c r="B11" s="51" t="s">
        <v>70</v>
      </c>
      <c r="C11" s="51"/>
      <c r="D11" s="6"/>
      <c r="E11" s="20">
        <v>0</v>
      </c>
      <c r="F11" s="6"/>
      <c r="G11" s="6"/>
      <c r="I11" s="3">
        <f>E35</f>
        <v>129.23727049582718</v>
      </c>
      <c r="J11" t="s">
        <v>160</v>
      </c>
    </row>
    <row r="12" spans="1:11" x14ac:dyDescent="0.35">
      <c r="A12" s="38" t="s">
        <v>88</v>
      </c>
      <c r="B12" s="38"/>
      <c r="C12" s="38"/>
      <c r="D12" s="6"/>
      <c r="E12" s="43">
        <f>((1-E11*0.01)*E10)</f>
        <v>500</v>
      </c>
      <c r="F12" s="6"/>
      <c r="G12" s="10"/>
      <c r="I12" s="153">
        <f>I11-I10</f>
        <v>-13.562729504172808</v>
      </c>
      <c r="J12" t="s">
        <v>159</v>
      </c>
    </row>
    <row r="13" spans="1:11" x14ac:dyDescent="0.35">
      <c r="A13" s="96" t="s">
        <v>131</v>
      </c>
      <c r="B13" s="51" t="s">
        <v>46</v>
      </c>
      <c r="C13" s="51"/>
      <c r="D13" s="6"/>
      <c r="E13" s="34">
        <v>140</v>
      </c>
      <c r="F13" s="6" t="s">
        <v>152</v>
      </c>
      <c r="G13" s="6"/>
    </row>
    <row r="14" spans="1:11" x14ac:dyDescent="0.35">
      <c r="A14" s="38" t="s">
        <v>284</v>
      </c>
      <c r="B14" s="51" t="s">
        <v>84</v>
      </c>
      <c r="C14" s="51"/>
      <c r="D14" s="67">
        <v>2</v>
      </c>
      <c r="E14" s="18">
        <f>((E12*E13*0.01)*D14*0.01)</f>
        <v>14</v>
      </c>
      <c r="F14" s="148">
        <f>E14*E9</f>
        <v>1400</v>
      </c>
      <c r="G14" s="6"/>
      <c r="J14" s="82"/>
    </row>
    <row r="15" spans="1:11" x14ac:dyDescent="0.35">
      <c r="A15" s="38" t="s">
        <v>99</v>
      </c>
      <c r="B15" s="51" t="s">
        <v>164</v>
      </c>
      <c r="C15" s="51"/>
      <c r="D15" s="6"/>
      <c r="E15" s="34">
        <v>0</v>
      </c>
      <c r="F15" s="18">
        <f>E15*E10*0.01</f>
        <v>0</v>
      </c>
      <c r="G15" s="38" t="s">
        <v>22</v>
      </c>
      <c r="I15" s="38" t="s">
        <v>174</v>
      </c>
    </row>
    <row r="16" spans="1:11" x14ac:dyDescent="0.35">
      <c r="A16" s="38"/>
      <c r="B16" s="38"/>
      <c r="C16" s="38"/>
      <c r="D16" s="6"/>
      <c r="E16" s="10"/>
      <c r="G16" s="6"/>
      <c r="J16" s="83"/>
    </row>
    <row r="17" spans="1:10" ht="15.45" x14ac:dyDescent="0.4">
      <c r="A17" s="38" t="s">
        <v>108</v>
      </c>
      <c r="B17" s="51" t="s">
        <v>22</v>
      </c>
      <c r="C17" s="51"/>
      <c r="D17" s="6"/>
      <c r="E17" s="40">
        <f>((E12*E13*0.01)+E14+E15*E10*0.01)</f>
        <v>714</v>
      </c>
      <c r="G17" s="6"/>
      <c r="H17" s="33" t="s">
        <v>123</v>
      </c>
    </row>
    <row r="18" spans="1:10" x14ac:dyDescent="0.35">
      <c r="A18" s="120" t="s">
        <v>109</v>
      </c>
      <c r="B18" s="171" t="s">
        <v>46</v>
      </c>
      <c r="C18" s="171"/>
      <c r="D18" s="120"/>
      <c r="E18" s="176">
        <f>(E17/E12)*100</f>
        <v>142.79999999999998</v>
      </c>
      <c r="F18" s="38" t="s">
        <v>7</v>
      </c>
      <c r="G18" s="171" t="s">
        <v>46</v>
      </c>
      <c r="H18" s="171" t="s">
        <v>124</v>
      </c>
    </row>
    <row r="19" spans="1:10" ht="15.45" x14ac:dyDescent="0.4">
      <c r="A19" s="123" t="s">
        <v>110</v>
      </c>
      <c r="B19" s="174" t="s">
        <v>59</v>
      </c>
      <c r="C19" s="174"/>
      <c r="D19" s="125"/>
      <c r="E19" s="113">
        <f>(E17*E9)</f>
        <v>71400</v>
      </c>
      <c r="F19" s="113">
        <f>G19*E12*0.01</f>
        <v>714</v>
      </c>
      <c r="G19" s="175">
        <f>(E19/(E9*E10*0.01))</f>
        <v>142.80000000000001</v>
      </c>
      <c r="H19" s="130">
        <f>IF(E19=0," ",(E19/$E$65))</f>
        <v>0.70213913039840936</v>
      </c>
    </row>
    <row r="20" spans="1:10" x14ac:dyDescent="0.35">
      <c r="A20" s="104"/>
      <c r="B20" s="104"/>
      <c r="C20" s="104"/>
      <c r="D20" s="117"/>
      <c r="E20" s="117"/>
      <c r="F20" s="117"/>
      <c r="G20" s="105"/>
      <c r="H20" s="106"/>
    </row>
    <row r="21" spans="1:10" x14ac:dyDescent="0.35">
      <c r="A21" s="6" t="s">
        <v>132</v>
      </c>
      <c r="B21" s="75"/>
      <c r="C21" s="75"/>
      <c r="D21" s="314" t="s">
        <v>267</v>
      </c>
      <c r="E21" s="315"/>
      <c r="F21" s="316"/>
      <c r="G21" s="6"/>
    </row>
    <row r="22" spans="1:10" x14ac:dyDescent="0.35">
      <c r="A22" s="38" t="s">
        <v>98</v>
      </c>
      <c r="B22" s="51" t="s">
        <v>97</v>
      </c>
      <c r="C22" s="38" t="s">
        <v>96</v>
      </c>
      <c r="D22" s="6" t="s">
        <v>95</v>
      </c>
      <c r="E22" s="74">
        <f>E8+E23</f>
        <v>43923</v>
      </c>
      <c r="F22" s="6"/>
      <c r="G22" s="6"/>
    </row>
    <row r="23" spans="1:10" x14ac:dyDescent="0.35">
      <c r="A23" s="38" t="s">
        <v>94</v>
      </c>
      <c r="B23" s="61">
        <v>840</v>
      </c>
      <c r="C23" s="73">
        <f>IF(B23=0,0,((B23-E10)/E24))</f>
        <v>170</v>
      </c>
      <c r="D23" s="72">
        <v>0</v>
      </c>
      <c r="E23" s="43">
        <f>IF(D23=0,C23,D23)</f>
        <v>170</v>
      </c>
      <c r="F23" s="6"/>
      <c r="G23" s="6"/>
    </row>
    <row r="24" spans="1:10" x14ac:dyDescent="0.35">
      <c r="A24" s="96" t="s">
        <v>121</v>
      </c>
      <c r="B24" s="51" t="s">
        <v>93</v>
      </c>
      <c r="C24" s="51"/>
      <c r="D24" s="6"/>
      <c r="E24" s="20">
        <v>2</v>
      </c>
      <c r="F24" s="6" t="s">
        <v>92</v>
      </c>
      <c r="G24" s="6"/>
    </row>
    <row r="25" spans="1:10" x14ac:dyDescent="0.35">
      <c r="A25" s="38" t="s">
        <v>91</v>
      </c>
      <c r="B25" s="51" t="s">
        <v>90</v>
      </c>
      <c r="C25" s="51"/>
      <c r="D25" s="6"/>
      <c r="E25" s="84">
        <f>(E23*E24+E10)</f>
        <v>840</v>
      </c>
      <c r="F25" s="71">
        <f>((E25*E33)-(E9*E10))</f>
        <v>32740</v>
      </c>
      <c r="G25" s="42">
        <f>IF(F25&lt;=0,"Undefined",(F25/(E23*E33)))</f>
        <v>1.9552105106001791</v>
      </c>
    </row>
    <row r="26" spans="1:10" x14ac:dyDescent="0.35">
      <c r="A26" s="38" t="s">
        <v>89</v>
      </c>
      <c r="B26" s="51" t="s">
        <v>70</v>
      </c>
      <c r="C26" s="51"/>
      <c r="D26" s="6"/>
      <c r="E26" s="70">
        <v>3</v>
      </c>
      <c r="F26" s="15" t="s">
        <v>76</v>
      </c>
      <c r="G26" s="69">
        <f>(F25/E33)</f>
        <v>332.38578680203045</v>
      </c>
      <c r="H26" s="38" t="s">
        <v>163</v>
      </c>
      <c r="I26" s="81"/>
      <c r="J26" s="80"/>
    </row>
    <row r="27" spans="1:10" x14ac:dyDescent="0.35">
      <c r="A27" s="38" t="s">
        <v>88</v>
      </c>
      <c r="B27" s="51" t="s">
        <v>51</v>
      </c>
      <c r="C27" s="51"/>
      <c r="D27" s="6"/>
      <c r="E27" s="43">
        <f>((1-E26*0.01)*E25)</f>
        <v>814.8</v>
      </c>
      <c r="F27" s="6"/>
      <c r="G27" s="6"/>
      <c r="J27" s="80"/>
    </row>
    <row r="28" spans="1:10" ht="15.45" x14ac:dyDescent="0.4">
      <c r="A28" s="38" t="s">
        <v>87</v>
      </c>
      <c r="B28" s="68" t="s">
        <v>86</v>
      </c>
      <c r="C28" s="51"/>
      <c r="D28" s="6"/>
      <c r="E28" s="43">
        <f>(E27-E10)</f>
        <v>314.79999999999995</v>
      </c>
      <c r="F28" s="63" t="s">
        <v>122</v>
      </c>
      <c r="G28" s="101">
        <f>E28/E23</f>
        <v>1.8517647058823528</v>
      </c>
      <c r="I28" s="2"/>
    </row>
    <row r="29" spans="1:10" x14ac:dyDescent="0.35">
      <c r="A29" s="6" t="s">
        <v>146</v>
      </c>
      <c r="B29" s="149" t="s">
        <v>153</v>
      </c>
      <c r="C29" s="51"/>
      <c r="D29" s="150">
        <f>E29*E27*0.01</f>
        <v>1075.5359999999998</v>
      </c>
      <c r="E29" s="151">
        <v>132</v>
      </c>
      <c r="F29" s="6"/>
      <c r="G29" s="6"/>
      <c r="I29" s="2"/>
    </row>
    <row r="30" spans="1:10" ht="15.45" x14ac:dyDescent="0.4">
      <c r="A30" s="38" t="s">
        <v>85</v>
      </c>
      <c r="B30" s="51" t="s">
        <v>84</v>
      </c>
      <c r="C30" s="51"/>
      <c r="D30" s="67">
        <v>2</v>
      </c>
      <c r="E30" s="66">
        <f>((E27*E29*0.01)*D30*0.01)</f>
        <v>21.510719999999996</v>
      </c>
      <c r="G30" s="6"/>
      <c r="H30" s="3"/>
      <c r="I30" s="77"/>
      <c r="J30" s="3"/>
    </row>
    <row r="31" spans="1:10" x14ac:dyDescent="0.35">
      <c r="A31" s="38" t="s">
        <v>83</v>
      </c>
      <c r="B31" s="51" t="s">
        <v>22</v>
      </c>
      <c r="C31" s="51"/>
      <c r="D31" s="6"/>
      <c r="E31" s="34">
        <v>1</v>
      </c>
      <c r="F31" s="15" t="s">
        <v>82</v>
      </c>
      <c r="G31" s="6"/>
      <c r="I31" s="3"/>
      <c r="J31" s="3"/>
    </row>
    <row r="32" spans="1:10" x14ac:dyDescent="0.35">
      <c r="A32" s="38"/>
      <c r="B32" s="51"/>
      <c r="C32" s="51"/>
      <c r="D32" s="6"/>
      <c r="E32" s="15"/>
      <c r="F32" s="6"/>
      <c r="G32" s="15" t="s">
        <v>81</v>
      </c>
    </row>
    <row r="33" spans="1:14" x14ac:dyDescent="0.35">
      <c r="A33" s="38" t="s">
        <v>80</v>
      </c>
      <c r="B33" s="95" t="s">
        <v>79</v>
      </c>
      <c r="C33" s="51"/>
      <c r="D33" s="65">
        <v>1.5</v>
      </c>
      <c r="E33" s="112">
        <f>((1-$D$33*0.01)*$E$9)</f>
        <v>98.5</v>
      </c>
      <c r="F33" s="64">
        <f>((E27*E33)-(E10*E9))</f>
        <v>30257.799999999988</v>
      </c>
      <c r="G33" s="63">
        <f>IF(E23&lt;=0,"Undefined",(F33/(E9*E23)))</f>
        <v>1.7798705882352934</v>
      </c>
      <c r="I33" s="81"/>
      <c r="J33" s="3"/>
    </row>
    <row r="34" spans="1:14" x14ac:dyDescent="0.35">
      <c r="A34" s="38" t="s">
        <v>78</v>
      </c>
      <c r="B34" s="51" t="s">
        <v>22</v>
      </c>
      <c r="C34" s="51"/>
      <c r="D34" s="6"/>
      <c r="E34" s="50">
        <f>(($E$27*$E$29*0.01)-$E$31-$E$30)</f>
        <v>1053.0252799999998</v>
      </c>
      <c r="F34" s="6"/>
      <c r="G34" s="6"/>
      <c r="H34" s="6"/>
      <c r="J34" s="3"/>
      <c r="K34" s="3"/>
      <c r="L34" s="3"/>
    </row>
    <row r="35" spans="1:14" ht="15.45" x14ac:dyDescent="0.4">
      <c r="A35" s="38" t="s">
        <v>154</v>
      </c>
      <c r="B35" s="51" t="s">
        <v>46</v>
      </c>
      <c r="C35" s="51"/>
      <c r="D35" s="6"/>
      <c r="E35" s="40">
        <f>($E$34/$E$27)*100</f>
        <v>129.23727049582718</v>
      </c>
      <c r="F35" s="6"/>
      <c r="G35" s="184" t="s">
        <v>173</v>
      </c>
      <c r="H35" s="6" t="s">
        <v>148</v>
      </c>
      <c r="I35" s="62"/>
    </row>
    <row r="36" spans="1:14" ht="15.45" x14ac:dyDescent="0.4">
      <c r="A36" s="32" t="s">
        <v>77</v>
      </c>
      <c r="B36" s="33" t="s">
        <v>59</v>
      </c>
      <c r="C36" s="33"/>
      <c r="D36" s="6"/>
      <c r="E36" s="49">
        <f>($E$34*$E$33)</f>
        <v>103722.99007999999</v>
      </c>
      <c r="F36" s="6" t="s">
        <v>76</v>
      </c>
      <c r="G36" s="289">
        <f>(F33/E33)</f>
        <v>307.18578680203035</v>
      </c>
      <c r="H36" s="139">
        <f>F61/G36</f>
        <v>1.0010393277060134</v>
      </c>
      <c r="J36" s="182">
        <f>(E36-E19)</f>
        <v>32322.990079999989</v>
      </c>
      <c r="K36" s="38" t="s">
        <v>155</v>
      </c>
      <c r="L36" s="38"/>
      <c r="M36" s="38"/>
      <c r="N36" s="38"/>
    </row>
    <row r="37" spans="1:14" ht="15.45" x14ac:dyDescent="0.4">
      <c r="A37" s="38"/>
      <c r="B37" s="38"/>
      <c r="C37" s="38"/>
      <c r="D37" s="6"/>
      <c r="E37" s="33"/>
      <c r="G37" s="33"/>
      <c r="H37" s="165"/>
    </row>
    <row r="38" spans="1:14" ht="15.45" x14ac:dyDescent="0.4">
      <c r="A38" s="32" t="s">
        <v>180</v>
      </c>
      <c r="C38" s="38"/>
      <c r="D38" s="33"/>
      <c r="F38" s="177" t="s">
        <v>116</v>
      </c>
      <c r="G38" s="178" t="s">
        <v>46</v>
      </c>
      <c r="H38" s="263" t="s">
        <v>266</v>
      </c>
    </row>
    <row r="39" spans="1:14" ht="15.45" x14ac:dyDescent="0.4">
      <c r="A39" s="123" t="s">
        <v>172</v>
      </c>
      <c r="B39" s="122" t="s">
        <v>59</v>
      </c>
      <c r="C39" s="122"/>
      <c r="D39" s="123"/>
      <c r="E39" s="124">
        <f>E19</f>
        <v>71400</v>
      </c>
      <c r="F39" s="172">
        <f>F19</f>
        <v>714</v>
      </c>
      <c r="G39" s="172">
        <f>G19</f>
        <v>142.80000000000001</v>
      </c>
      <c r="H39" s="173">
        <f>IF(E39=0," ",(E39/$E$65))</f>
        <v>0.70213913039840936</v>
      </c>
    </row>
    <row r="40" spans="1:14" ht="15.45" x14ac:dyDescent="0.4">
      <c r="A40" s="38" t="s">
        <v>171</v>
      </c>
      <c r="B40" s="57" t="s">
        <v>66</v>
      </c>
      <c r="C40" s="110">
        <f>E23</f>
        <v>170</v>
      </c>
      <c r="D40" s="18"/>
      <c r="E40" s="134"/>
      <c r="F40" s="18"/>
      <c r="G40" s="3"/>
      <c r="H40" s="103"/>
    </row>
    <row r="41" spans="1:14" x14ac:dyDescent="0.35">
      <c r="A41" s="38" t="s">
        <v>111</v>
      </c>
      <c r="B41" s="51"/>
      <c r="C41" s="51" t="s">
        <v>69</v>
      </c>
      <c r="D41" s="58" t="s">
        <v>68</v>
      </c>
      <c r="E41" s="6"/>
      <c r="F41" s="50"/>
      <c r="G41" s="50"/>
      <c r="H41" s="103" t="str">
        <f t="shared" ref="H41" si="0">IF(E41=0," ",(E41/$E$65))</f>
        <v xml:space="preserve"> </v>
      </c>
      <c r="I41" s="6" t="s">
        <v>117</v>
      </c>
      <c r="J41" t="s">
        <v>150</v>
      </c>
    </row>
    <row r="42" spans="1:14" ht="15.45" x14ac:dyDescent="0.4">
      <c r="A42" s="131" t="s">
        <v>292</v>
      </c>
      <c r="B42" s="56" t="s">
        <v>281</v>
      </c>
      <c r="C42" s="310">
        <f>G36</f>
        <v>307.18578680203035</v>
      </c>
      <c r="D42" s="85">
        <v>0.55000000000000004</v>
      </c>
      <c r="E42" s="50">
        <f>C42*D42*$E$33</f>
        <v>16641.789999999994</v>
      </c>
      <c r="F42" s="18">
        <f t="shared" ref="F42:F48" si="1">IF(E42=0," ",E42/$E$33)</f>
        <v>168.95218274111667</v>
      </c>
      <c r="G42" s="50"/>
      <c r="H42" s="103">
        <f>IF(E42=0,0,(E42/$E$65))</f>
        <v>0.16365338877973307</v>
      </c>
      <c r="I42" s="48">
        <f>G36</f>
        <v>307.18578680203035</v>
      </c>
      <c r="J42" s="144">
        <f>((F61)/I42)</f>
        <v>1.0010393277060134</v>
      </c>
      <c r="K42" s="38"/>
    </row>
    <row r="43" spans="1:14" ht="15.45" x14ac:dyDescent="0.4">
      <c r="A43" s="288" t="s">
        <v>293</v>
      </c>
      <c r="B43" s="290" t="s">
        <v>271</v>
      </c>
      <c r="C43" s="53">
        <v>45</v>
      </c>
      <c r="D43" s="52">
        <v>1</v>
      </c>
      <c r="E43" s="50">
        <f>C43*D43*$E$9</f>
        <v>4500</v>
      </c>
      <c r="F43" s="18">
        <f>IF(E43=0,0,E43/$E$33)</f>
        <v>45.685279187817258</v>
      </c>
      <c r="G43" s="50"/>
      <c r="H43" s="103">
        <f t="shared" ref="H43:H50" si="2">IF(E43=0,0,(E43/$E$65))</f>
        <v>4.4252466201580423E-2</v>
      </c>
      <c r="J43" s="144">
        <f>(F42+F43+F44)/I42</f>
        <v>0.74829597657463531</v>
      </c>
      <c r="K43" t="s">
        <v>240</v>
      </c>
    </row>
    <row r="44" spans="1:14" ht="15.45" x14ac:dyDescent="0.4">
      <c r="A44" s="131" t="s">
        <v>270</v>
      </c>
      <c r="B44" s="54" t="s">
        <v>63</v>
      </c>
      <c r="C44" s="53">
        <v>1</v>
      </c>
      <c r="D44" s="52">
        <v>15</v>
      </c>
      <c r="E44" s="50">
        <f>(C44*D44*$E$9)</f>
        <v>1500</v>
      </c>
      <c r="F44" s="18">
        <f t="shared" si="1"/>
        <v>15.228426395939087</v>
      </c>
      <c r="G44" s="50"/>
      <c r="H44" s="103">
        <f t="shared" si="2"/>
        <v>1.4750822067193473E-2</v>
      </c>
      <c r="J44" s="264">
        <f>J43/J42</f>
        <v>0.74751905930552598</v>
      </c>
      <c r="K44" s="38" t="s">
        <v>241</v>
      </c>
    </row>
    <row r="45" spans="1:14" x14ac:dyDescent="0.35">
      <c r="A45" s="55" t="s">
        <v>268</v>
      </c>
      <c r="B45" s="54" t="s">
        <v>63</v>
      </c>
      <c r="C45" s="53">
        <v>1</v>
      </c>
      <c r="D45" s="52">
        <v>18</v>
      </c>
      <c r="E45" s="50">
        <f>(C45*D45*$E$9)</f>
        <v>1800</v>
      </c>
      <c r="F45" s="18">
        <f>IF(E45=0,0,E45/$E$33)</f>
        <v>18.274111675126903</v>
      </c>
      <c r="G45" s="50"/>
      <c r="H45" s="103">
        <f t="shared" si="2"/>
        <v>1.7700986480632168E-2</v>
      </c>
    </row>
    <row r="46" spans="1:14" x14ac:dyDescent="0.35">
      <c r="A46" s="55" t="s">
        <v>65</v>
      </c>
      <c r="B46" s="54" t="s">
        <v>63</v>
      </c>
      <c r="C46" s="53">
        <v>1</v>
      </c>
      <c r="D46" s="52">
        <v>0</v>
      </c>
      <c r="E46" s="50">
        <f>(C46*D46*$E$9)</f>
        <v>0</v>
      </c>
      <c r="F46" s="18" t="str">
        <f t="shared" si="1"/>
        <v xml:space="preserve"> </v>
      </c>
      <c r="G46" s="50"/>
      <c r="H46" s="103">
        <f t="shared" si="2"/>
        <v>0</v>
      </c>
    </row>
    <row r="47" spans="1:14" x14ac:dyDescent="0.35">
      <c r="A47" s="55" t="s">
        <v>65</v>
      </c>
      <c r="B47" s="54" t="s">
        <v>63</v>
      </c>
      <c r="C47" s="53">
        <v>1</v>
      </c>
      <c r="D47" s="52">
        <v>0</v>
      </c>
      <c r="E47" s="50">
        <f>(C47*D47*$E$9)</f>
        <v>0</v>
      </c>
      <c r="F47" s="18" t="str">
        <f t="shared" si="1"/>
        <v xml:space="preserve"> </v>
      </c>
      <c r="G47" s="50"/>
      <c r="H47" s="103">
        <f t="shared" si="2"/>
        <v>0</v>
      </c>
    </row>
    <row r="48" spans="1:14" ht="15.45" x14ac:dyDescent="0.4">
      <c r="A48" s="131" t="s">
        <v>162</v>
      </c>
      <c r="B48" s="54"/>
      <c r="C48" s="53"/>
      <c r="D48" s="52"/>
      <c r="E48" s="49">
        <f>SUM(E42:E47)</f>
        <v>24441.789999999994</v>
      </c>
      <c r="F48" s="134">
        <f t="shared" si="1"/>
        <v>248.13999999999993</v>
      </c>
      <c r="G48" s="50"/>
      <c r="H48" s="103">
        <f t="shared" si="2"/>
        <v>0.24035766352913912</v>
      </c>
      <c r="K48" s="32" t="s">
        <v>74</v>
      </c>
    </row>
    <row r="49" spans="1:15" ht="15.45" x14ac:dyDescent="0.4">
      <c r="A49" s="131"/>
      <c r="B49" s="54"/>
      <c r="C49" s="140" t="s">
        <v>149</v>
      </c>
      <c r="D49" s="141" t="s">
        <v>144</v>
      </c>
      <c r="E49" s="49"/>
      <c r="F49" s="18"/>
      <c r="G49" s="50"/>
      <c r="H49" s="103"/>
      <c r="K49" t="s">
        <v>71</v>
      </c>
    </row>
    <row r="50" spans="1:15" ht="15.45" x14ac:dyDescent="0.4">
      <c r="A50" s="114" t="s">
        <v>125</v>
      </c>
      <c r="B50" s="115" t="s">
        <v>126</v>
      </c>
      <c r="C50" s="142">
        <f>C40</f>
        <v>170</v>
      </c>
      <c r="D50" s="291">
        <v>0.25</v>
      </c>
      <c r="E50" s="49">
        <f>(C50*D50*$E$9)</f>
        <v>4250</v>
      </c>
      <c r="F50" s="134">
        <f>IF(E50=0," ",E50/$E$33)</f>
        <v>43.147208121827411</v>
      </c>
      <c r="G50" s="50"/>
      <c r="H50" s="103">
        <f t="shared" si="2"/>
        <v>4.1793995857048176E-2</v>
      </c>
      <c r="K50" s="146">
        <f>($F$53*($E$23/365))</f>
        <v>2.3287671232876712</v>
      </c>
      <c r="L50" s="38" t="s">
        <v>70</v>
      </c>
      <c r="M50" s="136"/>
    </row>
    <row r="51" spans="1:15" ht="15.45" x14ac:dyDescent="0.4">
      <c r="A51" s="114"/>
      <c r="B51" s="115"/>
      <c r="C51" s="142"/>
      <c r="D51" s="145"/>
      <c r="E51" s="49"/>
      <c r="F51" s="134"/>
      <c r="G51" s="50"/>
      <c r="H51" s="129"/>
      <c r="K51" s="32" t="s">
        <v>136</v>
      </c>
      <c r="L51" s="38"/>
      <c r="M51" s="136"/>
      <c r="O51" s="38" t="s">
        <v>16</v>
      </c>
    </row>
    <row r="52" spans="1:15" ht="15.45" x14ac:dyDescent="0.4">
      <c r="A52" s="32" t="s">
        <v>158</v>
      </c>
      <c r="D52" s="6"/>
      <c r="E52" s="32"/>
      <c r="F52" s="15" t="s">
        <v>75</v>
      </c>
      <c r="G52" s="50"/>
      <c r="I52" s="38" t="s">
        <v>57</v>
      </c>
      <c r="K52" s="292">
        <f>(((SUM($E$42:$E$47)+$E$50)*0.5*(($E$23/365)*$F$53*0.01)))</f>
        <v>334.08248630136978</v>
      </c>
      <c r="L52" s="38" t="s">
        <v>67</v>
      </c>
      <c r="M52" s="280"/>
      <c r="O52" s="198">
        <f>(((SUM($E$42:$E$47)+$E$50)*0.5*(($E$23/365))))</f>
        <v>6681.6497260273954</v>
      </c>
    </row>
    <row r="53" spans="1:15" ht="15.45" x14ac:dyDescent="0.4">
      <c r="A53" s="100" t="s">
        <v>140</v>
      </c>
      <c r="B53" s="51" t="s">
        <v>73</v>
      </c>
      <c r="C53" s="143"/>
      <c r="D53" s="61">
        <v>80</v>
      </c>
      <c r="E53" s="6" t="s">
        <v>72</v>
      </c>
      <c r="F53" s="60">
        <v>5</v>
      </c>
      <c r="G53" s="50" t="s">
        <v>70</v>
      </c>
      <c r="H53" s="33" t="s">
        <v>123</v>
      </c>
      <c r="I53" s="48">
        <f>100-D53</f>
        <v>20</v>
      </c>
      <c r="K53" s="292">
        <f>($G$19*$E$9*$E$10*0.01)*(($E$23/365)*$F$53*0.01)</f>
        <v>1662.7397260273976</v>
      </c>
      <c r="L53" s="38" t="s">
        <v>28</v>
      </c>
      <c r="M53" s="281"/>
      <c r="O53" s="198">
        <f>($G$19*$E$9*$E$10*0.01)*(($E$23/365))</f>
        <v>33254.794520547948</v>
      </c>
    </row>
    <row r="54" spans="1:15" ht="15.45" x14ac:dyDescent="0.4">
      <c r="A54" s="38"/>
      <c r="B54" s="51"/>
      <c r="C54" s="51"/>
      <c r="D54" s="6"/>
      <c r="E54" s="15" t="s">
        <v>64</v>
      </c>
      <c r="F54" s="166" t="s">
        <v>114</v>
      </c>
      <c r="G54" s="59"/>
      <c r="H54" s="33" t="s">
        <v>124</v>
      </c>
      <c r="K54" s="293">
        <f>(K52+K53)</f>
        <v>1996.8222123287674</v>
      </c>
      <c r="L54" s="38" t="s">
        <v>64</v>
      </c>
      <c r="M54" s="279"/>
      <c r="O54" s="147">
        <f>O52+O53</f>
        <v>39936.444246575345</v>
      </c>
    </row>
    <row r="55" spans="1:15" ht="15.45" x14ac:dyDescent="0.4">
      <c r="A55" s="32" t="s">
        <v>129</v>
      </c>
      <c r="B55" s="51" t="s">
        <v>63</v>
      </c>
      <c r="C55" s="87">
        <f>D55/C42</f>
        <v>5.2002984464008264E-2</v>
      </c>
      <c r="D55" s="18">
        <f>(E55/E9)</f>
        <v>15.974577698630139</v>
      </c>
      <c r="E55" s="134">
        <f>(D53*K54*0.01)</f>
        <v>1597.4577698630139</v>
      </c>
      <c r="F55" s="18">
        <f>E55/$E$33</f>
        <v>16.21784537931994</v>
      </c>
      <c r="H55" s="103">
        <f>IF(E55=0,0,(E55/$E$65))</f>
        <v>1.5709210215403346E-2</v>
      </c>
      <c r="I55" s="3">
        <f>F55</f>
        <v>16.21784537931994</v>
      </c>
      <c r="K55" s="271">
        <f>K54*D53*0.01</f>
        <v>1597.4577698630139</v>
      </c>
      <c r="L55" s="38" t="s">
        <v>151</v>
      </c>
      <c r="M55" s="282"/>
    </row>
    <row r="56" spans="1:15" ht="15.45" x14ac:dyDescent="0.4">
      <c r="A56" s="88"/>
      <c r="B56" s="38"/>
      <c r="C56" s="38"/>
      <c r="D56" s="40"/>
      <c r="E56" s="49"/>
      <c r="F56" s="18"/>
      <c r="G56" s="49"/>
      <c r="H56" s="130"/>
      <c r="J56" s="152"/>
      <c r="K56" s="3"/>
    </row>
    <row r="57" spans="1:15" ht="15.45" x14ac:dyDescent="0.4">
      <c r="A57" s="167" t="s">
        <v>130</v>
      </c>
      <c r="B57" s="168"/>
      <c r="C57" s="168"/>
      <c r="D57" s="90">
        <f>F57/$E$27*100</f>
        <v>126.70325846193518</v>
      </c>
      <c r="E57" s="108">
        <f>E61+E39</f>
        <v>101689.24776986301</v>
      </c>
      <c r="F57" s="260">
        <f>IF(E57=0," ",E57/$E$33)</f>
        <v>1032.3781499478478</v>
      </c>
      <c r="G57" s="40"/>
      <c r="H57" s="130">
        <f>IF(E57=0,0,(E57/$E$65))</f>
        <v>1</v>
      </c>
      <c r="K57" s="152">
        <f>E57-E19</f>
        <v>30289.24776986301</v>
      </c>
      <c r="L57" s="38" t="s">
        <v>282</v>
      </c>
    </row>
    <row r="58" spans="1:15" ht="15.45" x14ac:dyDescent="0.4">
      <c r="A58" s="88"/>
      <c r="B58" s="38"/>
      <c r="C58" s="38"/>
      <c r="D58" s="185" t="s">
        <v>175</v>
      </c>
      <c r="E58" s="49"/>
      <c r="F58" s="18"/>
      <c r="G58" s="49"/>
      <c r="H58" s="277"/>
      <c r="I58" s="278"/>
      <c r="K58" s="3"/>
    </row>
    <row r="59" spans="1:15" ht="15.45" x14ac:dyDescent="0.4">
      <c r="A59" s="167" t="s">
        <v>127</v>
      </c>
      <c r="B59" s="168"/>
      <c r="C59" s="168"/>
      <c r="D59" s="287">
        <f>F59/$E$27*100</f>
        <v>2.5340120338920067</v>
      </c>
      <c r="E59" s="169">
        <f>E36-E57</f>
        <v>2033.7423101369786</v>
      </c>
      <c r="F59" s="170">
        <f>IF(E59=0," ",E59/$E$33)</f>
        <v>20.647130052152068</v>
      </c>
      <c r="G59" s="49"/>
      <c r="H59" s="130"/>
      <c r="K59" s="3"/>
    </row>
    <row r="60" spans="1:15" x14ac:dyDescent="0.35">
      <c r="A60" s="104"/>
      <c r="B60" s="104"/>
      <c r="C60" s="104"/>
      <c r="D60" s="104"/>
      <c r="E60" s="104"/>
      <c r="F60" s="104"/>
      <c r="G60" s="104"/>
      <c r="H60" s="104"/>
      <c r="K60" s="3"/>
    </row>
    <row r="61" spans="1:15" ht="15.45" x14ac:dyDescent="0.4">
      <c r="A61" s="88" t="s">
        <v>178</v>
      </c>
      <c r="B61" s="56" t="s">
        <v>68</v>
      </c>
      <c r="C61" s="77">
        <f>F61/C50</f>
        <v>1.8088532558891015</v>
      </c>
      <c r="D61" s="40">
        <f>H36</f>
        <v>1.0010393277060134</v>
      </c>
      <c r="E61" s="49">
        <f>E48+E50+E55</f>
        <v>30289.247769863006</v>
      </c>
      <c r="F61" s="134">
        <f>IF(E61=0," ",E61/$E$33)</f>
        <v>307.50505350114724</v>
      </c>
      <c r="G61" s="49"/>
      <c r="H61" s="130">
        <f>IF(E61=0," ",(E61/$E$65))</f>
        <v>0.29786086960159064</v>
      </c>
      <c r="K61" s="3"/>
    </row>
    <row r="62" spans="1:15" ht="15.45" x14ac:dyDescent="0.4">
      <c r="A62" s="89" t="s">
        <v>62</v>
      </c>
      <c r="B62" s="244" t="s">
        <v>176</v>
      </c>
      <c r="C62" s="89"/>
      <c r="D62" s="90"/>
      <c r="E62" s="89"/>
      <c r="F62" s="90">
        <f>IF(F33&lt;=0,"Undefined",(E61/(F33)))</f>
        <v>1.0010393277060137</v>
      </c>
      <c r="G62" s="10"/>
      <c r="H62" s="126"/>
    </row>
    <row r="63" spans="1:15" ht="15.45" x14ac:dyDescent="0.4">
      <c r="A63" s="91" t="s">
        <v>177</v>
      </c>
      <c r="B63" s="92"/>
      <c r="C63" s="92"/>
      <c r="D63" s="93"/>
      <c r="E63" s="93"/>
      <c r="F63" s="309">
        <f>(E36-E19)/(F33)</f>
        <v>1.0682531472876415</v>
      </c>
      <c r="G63" s="104"/>
      <c r="H63" s="104"/>
      <c r="I63" s="107"/>
    </row>
    <row r="64" spans="1:15" ht="15.45" x14ac:dyDescent="0.4">
      <c r="A64" s="118"/>
      <c r="B64" s="119"/>
      <c r="C64" s="120"/>
      <c r="D64" s="121"/>
      <c r="E64" s="122" t="s">
        <v>64</v>
      </c>
      <c r="F64" s="123" t="s">
        <v>116</v>
      </c>
      <c r="G64" s="50"/>
      <c r="K64" s="45"/>
    </row>
    <row r="65" spans="1:14" ht="15.45" x14ac:dyDescent="0.4">
      <c r="A65" s="119" t="s">
        <v>273</v>
      </c>
      <c r="B65" s="119"/>
      <c r="C65" s="120"/>
      <c r="D65" s="121"/>
      <c r="E65" s="113">
        <f>E61+E19</f>
        <v>101689.24776986301</v>
      </c>
      <c r="F65" s="124">
        <f t="shared" ref="F65" si="3">IF(E65=0," ",E65/$E$33)</f>
        <v>1032.3781499478478</v>
      </c>
      <c r="G65" s="50"/>
      <c r="H65" s="103">
        <f>IF(E65=0," ",(E65/$E$65))</f>
        <v>1</v>
      </c>
      <c r="K65" s="45"/>
    </row>
    <row r="66" spans="1:14" ht="15.45" x14ac:dyDescent="0.4">
      <c r="A66" s="123" t="s">
        <v>133</v>
      </c>
      <c r="B66" s="120"/>
      <c r="C66" s="120"/>
      <c r="D66" s="125"/>
      <c r="E66" s="126"/>
      <c r="F66" s="126"/>
      <c r="G66" s="32"/>
      <c r="K66" s="45" t="s">
        <v>61</v>
      </c>
    </row>
    <row r="67" spans="1:14" ht="15.45" x14ac:dyDescent="0.4">
      <c r="A67" s="122" t="s">
        <v>60</v>
      </c>
      <c r="B67" s="120"/>
      <c r="C67" s="120"/>
      <c r="D67" s="122" t="s">
        <v>59</v>
      </c>
      <c r="E67" s="127">
        <f>(J36-E61)</f>
        <v>2033.7423101369823</v>
      </c>
      <c r="F67" s="128">
        <f>E67/E33</f>
        <v>20.647130052152104</v>
      </c>
      <c r="G67" s="32"/>
      <c r="K67" s="36">
        <f>IF(E76=0,0,(E76/E75))</f>
        <v>2.8003721432736173</v>
      </c>
      <c r="L67" t="s">
        <v>58</v>
      </c>
    </row>
    <row r="68" spans="1:14" ht="15.45" x14ac:dyDescent="0.4">
      <c r="G68" s="32"/>
      <c r="K68" s="48">
        <f>(100-D53)</f>
        <v>20</v>
      </c>
      <c r="L68" t="s">
        <v>57</v>
      </c>
    </row>
    <row r="69" spans="1:14" ht="15.45" x14ac:dyDescent="0.4">
      <c r="A69" s="6" t="s">
        <v>56</v>
      </c>
      <c r="B69" s="6"/>
      <c r="C69" s="6"/>
      <c r="D69" s="51" t="s">
        <v>116</v>
      </c>
      <c r="E69" s="86">
        <f>B189</f>
        <v>-68.846342660775662</v>
      </c>
      <c r="F69" s="47"/>
      <c r="G69" s="32"/>
      <c r="K69" s="36">
        <f>IF(K71=0,0,(K70/K71)*100)</f>
        <v>25.462235666003004</v>
      </c>
      <c r="L69" t="s">
        <v>55</v>
      </c>
    </row>
    <row r="70" spans="1:14" ht="15.45" x14ac:dyDescent="0.4">
      <c r="A70" s="6" t="s">
        <v>54</v>
      </c>
      <c r="B70" s="6"/>
      <c r="C70" s="6"/>
      <c r="D70" s="51" t="s">
        <v>116</v>
      </c>
      <c r="E70" s="47">
        <f>B190</f>
        <v>89.493472712927641</v>
      </c>
      <c r="F70" s="47"/>
      <c r="G70" s="32"/>
      <c r="K70" s="155">
        <f>E67</f>
        <v>2033.7423101369823</v>
      </c>
      <c r="L70" s="6" t="s">
        <v>147</v>
      </c>
    </row>
    <row r="71" spans="1:14" ht="15.45" x14ac:dyDescent="0.4">
      <c r="A71" s="32" t="s">
        <v>288</v>
      </c>
      <c r="B71" s="32"/>
      <c r="C71" s="32"/>
      <c r="D71" s="51" t="s">
        <v>116</v>
      </c>
      <c r="E71" s="294">
        <f>E67/E33</f>
        <v>20.647130052152104</v>
      </c>
      <c r="F71" s="46"/>
      <c r="G71" s="32"/>
      <c r="H71" s="45"/>
      <c r="K71" s="156">
        <f>(($E$61-$E$55)*0.5+$E$19)*($E$23/365)*I53*0.01</f>
        <v>7987.2888493150685</v>
      </c>
      <c r="L71" t="s">
        <v>53</v>
      </c>
      <c r="N71" s="25">
        <f>K71/E9</f>
        <v>79.872888493150683</v>
      </c>
    </row>
    <row r="72" spans="1:14" ht="15.45" x14ac:dyDescent="0.4">
      <c r="A72" s="44" t="s">
        <v>9</v>
      </c>
      <c r="B72" s="38"/>
      <c r="C72" s="38"/>
      <c r="D72" s="44" t="s">
        <v>9</v>
      </c>
      <c r="E72" s="44" t="s">
        <v>9</v>
      </c>
      <c r="F72" s="43"/>
      <c r="G72" s="32"/>
      <c r="K72" s="42">
        <f>IF(K71=0,0,(E76/E75))</f>
        <v>2.8003721432736173</v>
      </c>
      <c r="L72" s="41" t="s">
        <v>52</v>
      </c>
    </row>
    <row r="73" spans="1:14" ht="15.45" x14ac:dyDescent="0.4">
      <c r="A73" s="32" t="s">
        <v>289</v>
      </c>
      <c r="B73" s="38"/>
      <c r="C73" s="38"/>
      <c r="D73" s="135" t="s">
        <v>145</v>
      </c>
      <c r="E73" s="94">
        <f>($G$19*$E$9*$E$10*0.01+$E48+E50+$E$55+$E$31*$E$33)/($E$27*$E$33*0.01)/(1-($D$30*0.01))</f>
        <v>129.4142734348041</v>
      </c>
      <c r="F73" s="259">
        <f>E73*D184*0.01</f>
        <v>1054.4674999467838</v>
      </c>
      <c r="G73" s="32"/>
      <c r="K73" s="39"/>
    </row>
    <row r="74" spans="1:14" ht="15.45" x14ac:dyDescent="0.4">
      <c r="A74" s="32"/>
      <c r="B74" s="38"/>
      <c r="C74" s="38"/>
      <c r="D74" s="32"/>
      <c r="E74" s="40"/>
      <c r="F74" s="43"/>
      <c r="G74" s="32"/>
      <c r="K74" s="39"/>
      <c r="L74" s="39"/>
    </row>
    <row r="75" spans="1:14" ht="15.45" x14ac:dyDescent="0.4">
      <c r="A75" s="32" t="s">
        <v>277</v>
      </c>
      <c r="B75" s="38"/>
      <c r="C75" s="38"/>
      <c r="E75" s="284">
        <f>IF($E$23=0,0,(($E$59+$E$55)/((($E$61-$E$55)*0.5+$E$19)*($E$23/365)))*100)</f>
        <v>9.0924471332005936</v>
      </c>
      <c r="F75" s="186" t="s">
        <v>70</v>
      </c>
      <c r="G75" s="32"/>
      <c r="K75" s="199">
        <f>(($E$61-$E$55)*0.5+$E$19)*($E$23/365)</f>
        <v>39936.444246575338</v>
      </c>
      <c r="L75" s="38" t="s">
        <v>157</v>
      </c>
    </row>
    <row r="76" spans="1:14" ht="15.45" x14ac:dyDescent="0.4">
      <c r="A76" s="32" t="s">
        <v>139</v>
      </c>
      <c r="B76" s="32" t="s">
        <v>179</v>
      </c>
      <c r="C76" s="132">
        <f>I53*0.01</f>
        <v>0.2</v>
      </c>
      <c r="E76" s="133">
        <f>IF(K69=0,"Undefined with Zero Equity",K69)</f>
        <v>25.462235666003004</v>
      </c>
      <c r="F76" s="186" t="s">
        <v>70</v>
      </c>
      <c r="G76" s="32"/>
      <c r="K76" s="37">
        <f>(E59+E55)</f>
        <v>3631.2000799999923</v>
      </c>
      <c r="L76" s="6" t="s">
        <v>141</v>
      </c>
    </row>
    <row r="77" spans="1:14" x14ac:dyDescent="0.35">
      <c r="A77" s="265"/>
      <c r="B77" s="265"/>
      <c r="C77" s="265"/>
      <c r="D77" s="265"/>
      <c r="E77" s="265"/>
      <c r="F77" s="265"/>
      <c r="G77" s="265"/>
      <c r="H77" s="265"/>
    </row>
    <row r="78" spans="1:14" ht="17.600000000000001" x14ac:dyDescent="0.4">
      <c r="A78" s="311" t="s">
        <v>39</v>
      </c>
      <c r="B78" s="311"/>
      <c r="C78" s="311"/>
      <c r="D78" s="311"/>
      <c r="E78" s="311"/>
      <c r="F78" s="311"/>
      <c r="G78" s="311"/>
      <c r="H78" s="311"/>
      <c r="K78" s="38" t="s">
        <v>272</v>
      </c>
    </row>
    <row r="79" spans="1:14" x14ac:dyDescent="0.35">
      <c r="A79" s="14" t="s">
        <v>135</v>
      </c>
      <c r="B79" s="26"/>
      <c r="C79" s="6"/>
      <c r="K79" s="200">
        <f>E59+E55</f>
        <v>3631.2000799999923</v>
      </c>
      <c r="L79" s="283">
        <f>(($E$61-$E$55)*0.5+$E$19)*($E$23/365)</f>
        <v>39936.444246575338</v>
      </c>
    </row>
    <row r="80" spans="1:14" x14ac:dyDescent="0.35">
      <c r="A80" s="14"/>
      <c r="B80" s="15" t="s">
        <v>22</v>
      </c>
      <c r="C80" s="6"/>
      <c r="D80" s="14"/>
      <c r="E80" s="6"/>
      <c r="F80" s="6"/>
      <c r="H80" s="6"/>
    </row>
    <row r="81" spans="1:18" x14ac:dyDescent="0.35">
      <c r="A81" s="14" t="s">
        <v>118</v>
      </c>
      <c r="B81" s="24">
        <f>E10</f>
        <v>500</v>
      </c>
      <c r="C81" s="6"/>
      <c r="D81" s="6"/>
      <c r="E81" s="6"/>
      <c r="F81" s="6"/>
      <c r="G81" s="6"/>
      <c r="H81" s="6"/>
    </row>
    <row r="82" spans="1:18" x14ac:dyDescent="0.35">
      <c r="A82" s="14" t="s">
        <v>119</v>
      </c>
      <c r="B82" s="24">
        <f>E27</f>
        <v>814.8</v>
      </c>
      <c r="C82" s="6"/>
      <c r="D82" s="6"/>
      <c r="E82" s="6"/>
      <c r="F82" s="6"/>
      <c r="G82" s="6"/>
      <c r="H82" s="6"/>
      <c r="J82" s="25">
        <f>'1. Stocker-Feeder Budget'!D53</f>
        <v>80</v>
      </c>
      <c r="K82" t="s">
        <v>38</v>
      </c>
      <c r="P82" t="s">
        <v>28</v>
      </c>
      <c r="R82" t="s">
        <v>37</v>
      </c>
    </row>
    <row r="83" spans="1:18" x14ac:dyDescent="0.35">
      <c r="A83" s="14" t="s">
        <v>120</v>
      </c>
      <c r="B83" s="24">
        <f>G36</f>
        <v>307.18578680203035</v>
      </c>
      <c r="C83" s="6"/>
      <c r="D83" s="6"/>
      <c r="E83" s="6"/>
      <c r="F83" s="6"/>
      <c r="G83" s="6"/>
      <c r="H83" s="6"/>
      <c r="J83" s="23">
        <f>('1. Stocker-Feeder Budget'!$F$53*('1. Stocker-Feeder Budget'!$E$23/365))</f>
        <v>2.3287671232876712</v>
      </c>
      <c r="K83" t="s">
        <v>36</v>
      </c>
    </row>
    <row r="84" spans="1:18" x14ac:dyDescent="0.35">
      <c r="A84" s="6"/>
      <c r="B84" s="6"/>
      <c r="C84" s="6"/>
      <c r="D84" s="313" t="s">
        <v>35</v>
      </c>
      <c r="E84" s="313"/>
      <c r="F84" s="313"/>
      <c r="G84" s="313"/>
      <c r="H84" s="313"/>
      <c r="J84" s="38" t="s">
        <v>136</v>
      </c>
      <c r="M84" t="s">
        <v>34</v>
      </c>
      <c r="P84" s="152">
        <f>B96</f>
        <v>122.79999999999998</v>
      </c>
      <c r="Q84" s="183">
        <f>($P84*$E$9*$E$10*0.01)*(($E$23/365)*$F$53*0.01)</f>
        <v>1429.8630136986301</v>
      </c>
      <c r="R84" s="152">
        <f>($Q84*$D$53*0.01)+$M$85</f>
        <v>1411.1563999999998</v>
      </c>
    </row>
    <row r="85" spans="1:18" x14ac:dyDescent="0.35">
      <c r="A85" s="14" t="s">
        <v>33</v>
      </c>
      <c r="B85" s="6"/>
      <c r="C85" s="6"/>
      <c r="D85" s="313" t="s">
        <v>32</v>
      </c>
      <c r="E85" s="313"/>
      <c r="F85" s="313"/>
      <c r="G85" s="313"/>
      <c r="H85" s="313"/>
      <c r="J85" s="97">
        <f>((SUM($E$42:$E$47)*0.5*(($E$23/365)*$F$53*0.01)))</f>
        <v>284.5961849315068</v>
      </c>
      <c r="K85" t="s">
        <v>31</v>
      </c>
      <c r="M85" s="12">
        <f>($K$52*$D$53*0.01)</f>
        <v>267.26598904109585</v>
      </c>
      <c r="P85" s="152">
        <f>B97</f>
        <v>132.79999999999998</v>
      </c>
      <c r="Q85" s="183">
        <f>($P85*$E$9*$E$10*0.01)*(($E$23/365)*$F$53*0.01)</f>
        <v>1546.3013698630134</v>
      </c>
      <c r="R85" s="152">
        <f>($Q85*$D$53*0.01)+$M$85</f>
        <v>1504.3070849315063</v>
      </c>
    </row>
    <row r="86" spans="1:18" x14ac:dyDescent="0.35">
      <c r="A86" s="6"/>
      <c r="B86" s="15"/>
      <c r="C86" s="6"/>
      <c r="D86" s="6"/>
      <c r="E86" s="6"/>
      <c r="F86" s="6"/>
      <c r="G86" s="22" t="s">
        <v>30</v>
      </c>
      <c r="H86" s="6"/>
      <c r="J86" s="98"/>
      <c r="P86" s="152">
        <f>B98</f>
        <v>142.79999999999998</v>
      </c>
      <c r="Q86" s="183">
        <f>($P86*$E$9*$E$10*0.01)*(($E$23/365)*$F$53*0.01)</f>
        <v>1662.739726027397</v>
      </c>
      <c r="R86" s="152">
        <f>($Q86*$D$53*0.01)+$M$85</f>
        <v>1597.4577698630137</v>
      </c>
    </row>
    <row r="87" spans="1:18" x14ac:dyDescent="0.35">
      <c r="A87" s="68" t="s">
        <v>280</v>
      </c>
      <c r="B87" s="20">
        <v>0.1</v>
      </c>
      <c r="C87" s="21"/>
      <c r="D87" s="313" t="s">
        <v>29</v>
      </c>
      <c r="E87" s="313"/>
      <c r="F87" s="313"/>
      <c r="G87" s="313"/>
      <c r="H87" s="313"/>
      <c r="J87" s="97">
        <f>($G$19*$E$9*$E$10*0.01)*(($E$23/365)*$F$53*0.01)</f>
        <v>1662.7397260273976</v>
      </c>
      <c r="K87" t="s">
        <v>28</v>
      </c>
      <c r="M87" s="12">
        <f>($K$53*$D$53*0.01)</f>
        <v>1330.1917808219182</v>
      </c>
      <c r="P87" s="152">
        <f>B99</f>
        <v>152.79999999999998</v>
      </c>
      <c r="Q87" s="183">
        <f>($P87*$E$9*$E$10*0.01)*(($E$23/365)*$F$53*0.01)</f>
        <v>1779.1780821917805</v>
      </c>
      <c r="R87" s="152">
        <f>($Q87*$D$53*0.01)+$M$85</f>
        <v>1690.6084547945202</v>
      </c>
    </row>
    <row r="88" spans="1:18" x14ac:dyDescent="0.35">
      <c r="A88" s="68" t="s">
        <v>279</v>
      </c>
      <c r="B88" s="20">
        <v>10</v>
      </c>
      <c r="C88" s="6"/>
      <c r="D88" s="8" t="s">
        <v>9</v>
      </c>
      <c r="E88" s="8" t="s">
        <v>9</v>
      </c>
      <c r="F88" s="8" t="s">
        <v>9</v>
      </c>
      <c r="G88" s="8" t="s">
        <v>9</v>
      </c>
      <c r="H88" s="8" t="s">
        <v>9</v>
      </c>
      <c r="J88" s="98"/>
      <c r="P88" s="152">
        <f>B100</f>
        <v>162.79999999999998</v>
      </c>
      <c r="Q88" s="183">
        <f>($P88*$E$9*$E$10*0.01)*(($E$23/365)*$F$53*0.01)</f>
        <v>1895.6164383561641</v>
      </c>
      <c r="R88" s="152">
        <f>($Q88*$D$53*0.01)+$M$85</f>
        <v>1783.7591397260271</v>
      </c>
    </row>
    <row r="89" spans="1:18" x14ac:dyDescent="0.35">
      <c r="A89" s="202"/>
      <c r="B89" s="202"/>
      <c r="C89" s="6"/>
      <c r="D89" s="313" t="s">
        <v>27</v>
      </c>
      <c r="E89" s="313"/>
      <c r="F89" s="15" t="s">
        <v>26</v>
      </c>
      <c r="G89" s="313" t="s">
        <v>25</v>
      </c>
      <c r="H89" s="313"/>
      <c r="J89" s="99">
        <f>(L92+J87)</f>
        <v>1947.3376993693071</v>
      </c>
      <c r="K89" t="s">
        <v>24</v>
      </c>
      <c r="M89" s="11">
        <f>(M85+M87)</f>
        <v>1597.4577698630142</v>
      </c>
      <c r="P89" s="3"/>
    </row>
    <row r="90" spans="1:18" x14ac:dyDescent="0.35">
      <c r="A90" s="14" t="s">
        <v>23</v>
      </c>
      <c r="B90" s="15" t="s">
        <v>22</v>
      </c>
      <c r="C90" s="6"/>
      <c r="D90" s="19"/>
      <c r="E90" s="18"/>
      <c r="F90" s="18">
        <f>'1. Stocker-Feeder Budget'!F61+'1. Stocker-Feeder Budget'!E31</f>
        <v>308.50505350114724</v>
      </c>
      <c r="G90" s="19"/>
      <c r="H90" s="18"/>
      <c r="K90" t="s">
        <v>21</v>
      </c>
      <c r="M90" t="s">
        <v>14</v>
      </c>
      <c r="N90" t="s">
        <v>20</v>
      </c>
      <c r="O90" t="s">
        <v>19</v>
      </c>
    </row>
    <row r="91" spans="1:18" x14ac:dyDescent="0.35">
      <c r="A91" s="14" t="s">
        <v>18</v>
      </c>
      <c r="B91" s="15" t="s">
        <v>12</v>
      </c>
      <c r="C91" s="6"/>
      <c r="D91" s="285">
        <f>B87*2*-1</f>
        <v>-0.2</v>
      </c>
      <c r="E91" s="285">
        <f>B87*-1</f>
        <v>-0.1</v>
      </c>
      <c r="F91" s="17"/>
      <c r="G91" s="10">
        <f>B87*1</f>
        <v>0.1</v>
      </c>
      <c r="H91" s="10">
        <f>B87*2</f>
        <v>0.2</v>
      </c>
      <c r="K91" t="s">
        <v>17</v>
      </c>
      <c r="L91" t="s">
        <v>15</v>
      </c>
      <c r="M91" t="s">
        <v>16</v>
      </c>
      <c r="N91" s="16" t="s">
        <v>15</v>
      </c>
      <c r="O91" s="16" t="s">
        <v>14</v>
      </c>
    </row>
    <row r="92" spans="1:18" x14ac:dyDescent="0.35">
      <c r="A92" s="14" t="s">
        <v>13</v>
      </c>
      <c r="B92" s="15" t="s">
        <v>12</v>
      </c>
      <c r="C92" s="6"/>
      <c r="D92" s="10">
        <f>($F$92+D91)</f>
        <v>0.80103932770601372</v>
      </c>
      <c r="E92" s="10">
        <f>($F$92+E91)</f>
        <v>0.90103932770601369</v>
      </c>
      <c r="F92" s="10">
        <f>F62</f>
        <v>1.0010393277060137</v>
      </c>
      <c r="G92" s="10">
        <f>($F$92+G91)</f>
        <v>1.1010393277060138</v>
      </c>
      <c r="H92" s="10">
        <f>($F$92+H91)</f>
        <v>1.2010393277060136</v>
      </c>
      <c r="K92" s="3">
        <f>G91</f>
        <v>0.1</v>
      </c>
      <c r="L92" s="13">
        <f>((SUM($E$42:$E$47)+M92)*0.5*(($E$23/365)*$F$53*0.01))</f>
        <v>284.59797334190944</v>
      </c>
      <c r="M92" s="99">
        <f>($B$83*0.01*$B$87*0.5)</f>
        <v>0.1535928934010152</v>
      </c>
      <c r="N92" s="98">
        <f>L92-$J$85</f>
        <v>1.7884104026393288E-3</v>
      </c>
      <c r="O92" s="99">
        <f>(($B$83*B87)+N92)</f>
        <v>30.720367090605677</v>
      </c>
    </row>
    <row r="93" spans="1:18" x14ac:dyDescent="0.35">
      <c r="M93" s="99"/>
      <c r="N93" s="98"/>
      <c r="O93" s="98"/>
    </row>
    <row r="94" spans="1:18" x14ac:dyDescent="0.35">
      <c r="A94" s="6"/>
      <c r="B94" s="6"/>
      <c r="C94" s="6"/>
      <c r="D94" s="313" t="s">
        <v>142</v>
      </c>
      <c r="E94" s="313"/>
      <c r="F94" s="313"/>
      <c r="G94" s="313"/>
      <c r="H94" s="313"/>
      <c r="K94" s="3">
        <f>H91</f>
        <v>0.2</v>
      </c>
      <c r="L94" s="13">
        <f>((SUM($E$42:$E$47)+M94)*0.5*(($E$23/365)*$F$53*0.01))</f>
        <v>284.59976175231202</v>
      </c>
      <c r="M94" s="99">
        <f>($B$83*0.01*$H$91*0.5)</f>
        <v>0.3071857868020304</v>
      </c>
      <c r="N94" s="98">
        <f>L94-$J$85</f>
        <v>3.5768208052218142E-3</v>
      </c>
      <c r="O94" s="99">
        <f>((B83*H91)+N94)</f>
        <v>61.440734181211297</v>
      </c>
    </row>
    <row r="95" spans="1:18" x14ac:dyDescent="0.35">
      <c r="A95" s="6"/>
      <c r="B95" s="15" t="s">
        <v>11</v>
      </c>
      <c r="C95" s="6"/>
      <c r="D95" s="8" t="s">
        <v>9</v>
      </c>
      <c r="E95" s="8" t="s">
        <v>9</v>
      </c>
      <c r="F95" s="8" t="s">
        <v>9</v>
      </c>
      <c r="G95" s="8" t="s">
        <v>9</v>
      </c>
      <c r="H95" s="8" t="s">
        <v>9</v>
      </c>
      <c r="M95" s="98"/>
      <c r="N95" s="98"/>
      <c r="O95" s="98"/>
    </row>
    <row r="96" spans="1:18" x14ac:dyDescent="0.35">
      <c r="A96" s="6"/>
      <c r="B96" s="10">
        <f>B98-2*B88</f>
        <v>122.79999999999998</v>
      </c>
      <c r="C96" s="6"/>
      <c r="D96" s="9">
        <f>($B96*$E$9*$E$10*0.01+$E$48+E50+$R84+$O$98+$E$31*$E$33)/($E$27*$E$33*0.01)/(1-($D$30*0.01))</f>
        <v>116.38516012992365</v>
      </c>
      <c r="E96" s="9">
        <f>($B96*$E$9*$E$10*0.01+$E$48+E50+$R84+$O$96+$E$31*$E$33)/($E$27*$E$33*0.01)/(1-($D$30*0.01))</f>
        <v>116.42421840632517</v>
      </c>
      <c r="F96" s="9">
        <f>($B96*$E$9*$E$10*0.01+$E$48+E50+$R84+$E$31*$E$33)/($E$27*$E$33*0.01)/(1-($D$30*0.01))</f>
        <v>116.46327668272666</v>
      </c>
      <c r="G96" s="9">
        <f>($B96*$E$9*$E$10*0.01+E48+E50+$R84+$O$92+$E$31*$E$33)/($E$27*$E$33*0.01)/(1-($D$30*0.01))</f>
        <v>116.50233495912813</v>
      </c>
      <c r="H96" s="9">
        <f>($B96*$E$9*$E$10*0.01+E$48+E50+$R84+$O$94+$E$31*$E$33)/($E$27*$E$33*0.01)/(1-($D$30*0.01))</f>
        <v>116.54139323552965</v>
      </c>
      <c r="K96" s="3">
        <f>E91</f>
        <v>-0.1</v>
      </c>
      <c r="L96" s="13">
        <f>((SUM($E$42:$E$47)+M96)*0.5*(($E$23/365)*$F$53*0.01))</f>
        <v>284.59439652110416</v>
      </c>
      <c r="M96" s="99">
        <f>($B$83*0.01*$E$91*0.5)</f>
        <v>-0.1535928934010152</v>
      </c>
      <c r="N96" s="98">
        <f>L96-$J$85</f>
        <v>-1.7884104026393288E-3</v>
      </c>
      <c r="O96" s="99">
        <f>(($B$83*E91)+N96)</f>
        <v>-30.720367090605677</v>
      </c>
    </row>
    <row r="97" spans="1:15" x14ac:dyDescent="0.35">
      <c r="A97" s="6"/>
      <c r="B97" s="10">
        <f>(B98-B88)</f>
        <v>132.79999999999998</v>
      </c>
      <c r="C97" s="6"/>
      <c r="D97" s="9">
        <f>($B97*$E$9*$E$10*0.01+$E$48+E50+$R85+$O$98+$E$31*$E$33)/($E$27*$E$33*0.01)/(1-($D$30*0.01))</f>
        <v>122.86065850596235</v>
      </c>
      <c r="E97" s="9">
        <f>($B97*$E$9*$E$10*0.01+$E$48+E50+$R85+$O$96+$E$31*$E$33)/($E$27*$E$33*0.01)/(1-($D$30*0.01))</f>
        <v>122.89971678236387</v>
      </c>
      <c r="F97" s="9">
        <f>($B97*$E$9*$E$10*0.01+$E$48+E50+$R85+$E$31*$E$33)/($E$27*$E$33*0.01)/(1-($D$30*0.01))</f>
        <v>122.93877505876536</v>
      </c>
      <c r="G97" s="9">
        <f>($B97*$E$9*$E$10*0.01+E48+E50+$R85+$O$92+$E$31*$E$33)/($E$27*$E$33*0.01)/(1-($D$30*0.01))</f>
        <v>122.97783333516685</v>
      </c>
      <c r="H97" s="9">
        <f>($B97*$E$9*$E$10*0.01+$E$48+E50+$R85+$O$94+$E$31*$E$33)/($E$27*$E$33*0.01)/(1-($D$30*0.01))</f>
        <v>123.01689161156837</v>
      </c>
      <c r="M97" s="98"/>
      <c r="N97" s="98"/>
      <c r="O97" s="98"/>
    </row>
    <row r="98" spans="1:15" ht="15.45" x14ac:dyDescent="0.4">
      <c r="A98" s="14" t="s">
        <v>10</v>
      </c>
      <c r="B98" s="181">
        <f>(E17/E10)*100</f>
        <v>142.79999999999998</v>
      </c>
      <c r="C98" s="6"/>
      <c r="D98" s="9">
        <f>($B98*$E$9*$E$10*0.01+$E$50+E48+$R86+$O$98+$E$31*$E$33)/($E$27*$E$33*0.01)/(1-($D$30*0.01))</f>
        <v>129.33615688200106</v>
      </c>
      <c r="E98" s="9">
        <f>($B98*$E$9*$E$10*0.01+$E$48+E50+$R86+$O$96+$E$31*$E$33)/($E$27*$E$33*0.01)/(1-($D$30*0.01))</f>
        <v>129.37521515840257</v>
      </c>
      <c r="F98" s="94">
        <f>($B$98*$E$9*$E$10*0.01+$E$48+$E$50+$R$86+$E$31*$E$33)/($E$27*$E$33*0.01)/(1-($D$30*0.01))</f>
        <v>129.41427343480407</v>
      </c>
      <c r="G98" s="9">
        <f>($B98*$E$9*$E$10*0.01+E48+E50+$R86+$O$92+$E$31*$E$33)/($E$27*$E$33*0.01)/(1-($D$30*0.01))</f>
        <v>129.45333171120555</v>
      </c>
      <c r="H98" s="9">
        <f>($B98*$E$9*$E$10*0.01+$E$48+E50+$R86+$O$94+$E$31*$E$33)/($E$27*$E$33*0.01)/(1-($D$30*0.01))</f>
        <v>129.49238998760708</v>
      </c>
      <c r="K98" s="3">
        <f>D91</f>
        <v>-0.2</v>
      </c>
      <c r="L98" s="13">
        <f>((SUM($E$42:$E$47)+M98)*0.5*(($E$23/365)*$F$53*0.01))</f>
        <v>284.59260811070158</v>
      </c>
      <c r="M98" s="99">
        <f>($B$83*0.01*$D$91*0.5)</f>
        <v>-0.3071857868020304</v>
      </c>
      <c r="N98" s="98">
        <f>L98-$J$85</f>
        <v>-3.5768208052218142E-3</v>
      </c>
      <c r="O98" s="99">
        <f>(($B$83*D91)+N98)</f>
        <v>-61.440734181211297</v>
      </c>
    </row>
    <row r="99" spans="1:15" x14ac:dyDescent="0.35">
      <c r="A99" s="6"/>
      <c r="B99" s="10">
        <f>B98+B88</f>
        <v>152.79999999999998</v>
      </c>
      <c r="C99" s="6"/>
      <c r="D99" s="9">
        <f>($B99*$E$9*$E$10*0.01+$E$48+E50+$R87+$O$98+$E$31*$E$33)/($E$27*$E$33*0.01)/(1-($D$30*0.01))</f>
        <v>135.81165525803976</v>
      </c>
      <c r="E99" s="9">
        <f>($B99*$E$9*$E$10*0.01+$E$48+E50+$R87+$O$96+$E$31*$E$33)/($E$27*$E$33*0.01)/(1-($D$30*0.01))</f>
        <v>135.85071353444127</v>
      </c>
      <c r="F99" s="9">
        <f>($B99*$E$9*$E$10*0.01+E48+E50+$R87+$E$31*$E$33)/($E$27*$E$33*0.01)/(1-($D$30*0.01))</f>
        <v>135.88977181084277</v>
      </c>
      <c r="G99" s="9">
        <f>($B99*$E$9*$E$10*0.01+E48+E50+$R87+$O$92+$E$31*$E$33)/($E$27*$E$33*0.01)/(1-($D$30*0.01))</f>
        <v>135.92883008724428</v>
      </c>
      <c r="H99" s="9">
        <f>($B99*$E$9*$E$10*0.01+$E$48+E50+$R87+$O$94+$E$31*$E$33)/($E$27*$E$33*0.01)/(1-($D$30*0.01))</f>
        <v>135.96788836364578</v>
      </c>
    </row>
    <row r="100" spans="1:15" x14ac:dyDescent="0.35">
      <c r="A100" s="6"/>
      <c r="B100" s="10">
        <f>B98+2*B88</f>
        <v>162.79999999999998</v>
      </c>
      <c r="C100" s="6"/>
      <c r="D100" s="9">
        <f>($B100*$E$9*$E$10*0.01+$E$48+E50+$R88+$O$98+$E$31*$E$33)/($E$27*$E$33*0.01)/(1-($D$30*0.01))</f>
        <v>142.28715363407849</v>
      </c>
      <c r="E100" s="9">
        <f>($B100*$E$9*$E$10*0.01+$E$48+E50+$R88+$O$96+$E$31*$E$33)/($E$27*$E$33*0.01)/(1-($D$30*0.01))</f>
        <v>142.32621191048</v>
      </c>
      <c r="F100" s="9">
        <f>($B100*$E$9*$E$10*0.01+E48+E50+$R88+$E$31*$E$33)/($E$27*$E$33*0.01)/(1-($D$30*0.01))</f>
        <v>142.36527018688147</v>
      </c>
      <c r="G100" s="9">
        <f>+($B100*$E$9*$E$10*0.01+E48+E50+$R88+$O$92+$E$31*$E$33)/($E$27*$E$33*0.01)/(1-($D$30*0.01))</f>
        <v>142.40432846328298</v>
      </c>
      <c r="H100" s="9">
        <f>($B100*$E$9*$E$10*0.01+$E$48+E50+$R88+$O$94+$E$31*$E$33)/($E$27*$E$33*0.01)/(1-($D$30*0.01))</f>
        <v>142.44338673968448</v>
      </c>
    </row>
    <row r="101" spans="1:15" x14ac:dyDescent="0.35">
      <c r="A101" s="6"/>
      <c r="B101" s="10"/>
      <c r="C101" s="6"/>
      <c r="D101" s="9"/>
      <c r="E101" s="9"/>
      <c r="F101" s="9"/>
      <c r="G101" s="9"/>
      <c r="H101" s="9"/>
    </row>
    <row r="102" spans="1:15" x14ac:dyDescent="0.35">
      <c r="A102" s="6"/>
      <c r="B102" s="109" t="s">
        <v>128</v>
      </c>
      <c r="C102" s="6"/>
      <c r="D102" s="9"/>
      <c r="E102" s="9"/>
      <c r="F102" s="9"/>
      <c r="G102" s="9"/>
      <c r="H102" s="9"/>
    </row>
    <row r="103" spans="1:15" x14ac:dyDescent="0.35">
      <c r="A103" s="6"/>
      <c r="B103" s="50">
        <f>B96*$D$180*0.01</f>
        <v>613.99999999999989</v>
      </c>
      <c r="C103" s="6"/>
      <c r="D103" s="50">
        <f t="shared" ref="D103:H107" si="4">D96*$D$184*0.01</f>
        <v>948.30628473861782</v>
      </c>
      <c r="E103" s="50">
        <f t="shared" si="4"/>
        <v>948.62453157473738</v>
      </c>
      <c r="F103" s="50">
        <f t="shared" si="4"/>
        <v>948.9427784108567</v>
      </c>
      <c r="G103" s="50">
        <f t="shared" si="4"/>
        <v>949.26102524697603</v>
      </c>
      <c r="H103" s="50">
        <f t="shared" si="4"/>
        <v>949.57927208309559</v>
      </c>
    </row>
    <row r="104" spans="1:15" x14ac:dyDescent="0.35">
      <c r="A104" s="6"/>
      <c r="B104" s="182">
        <f>B97*$D$180*0.01</f>
        <v>663.99999999999989</v>
      </c>
      <c r="C104" s="6"/>
      <c r="D104" s="50">
        <f t="shared" si="4"/>
        <v>1001.0686455065811</v>
      </c>
      <c r="E104" s="50">
        <f t="shared" si="4"/>
        <v>1001.3868923427008</v>
      </c>
      <c r="F104" s="50">
        <f t="shared" si="4"/>
        <v>1001.7051391788201</v>
      </c>
      <c r="G104" s="50">
        <f t="shared" si="4"/>
        <v>1002.0233860149394</v>
      </c>
      <c r="H104" s="50">
        <f t="shared" si="4"/>
        <v>1002.341632851059</v>
      </c>
    </row>
    <row r="105" spans="1:15" ht="15.45" x14ac:dyDescent="0.4">
      <c r="A105" s="14" t="s">
        <v>143</v>
      </c>
      <c r="B105" s="49">
        <f>B98*$D$180*0.01</f>
        <v>713.99999999999989</v>
      </c>
      <c r="C105" s="6"/>
      <c r="D105" s="50">
        <f t="shared" si="4"/>
        <v>1053.8310062745447</v>
      </c>
      <c r="E105" s="50">
        <f t="shared" si="4"/>
        <v>1054.1492531106642</v>
      </c>
      <c r="F105" s="108">
        <f t="shared" si="4"/>
        <v>1054.4674999467836</v>
      </c>
      <c r="G105" s="50">
        <f t="shared" si="4"/>
        <v>1054.7857467829028</v>
      </c>
      <c r="H105" s="50">
        <f t="shared" si="4"/>
        <v>1055.1039936190225</v>
      </c>
    </row>
    <row r="106" spans="1:15" x14ac:dyDescent="0.35">
      <c r="A106" s="6"/>
      <c r="B106" s="50">
        <f>B99*$D$180*0.01</f>
        <v>763.99999999999989</v>
      </c>
      <c r="C106" s="6"/>
      <c r="D106" s="50">
        <f t="shared" si="4"/>
        <v>1106.5933670425079</v>
      </c>
      <c r="E106" s="50">
        <f t="shared" si="4"/>
        <v>1106.9116138786273</v>
      </c>
      <c r="F106" s="50">
        <f t="shared" si="4"/>
        <v>1107.229860714747</v>
      </c>
      <c r="G106" s="50">
        <f t="shared" si="4"/>
        <v>1107.5481075508662</v>
      </c>
      <c r="H106" s="50">
        <f t="shared" si="4"/>
        <v>1107.8663543869859</v>
      </c>
    </row>
    <row r="107" spans="1:15" x14ac:dyDescent="0.35">
      <c r="A107" s="6"/>
      <c r="B107" s="50">
        <f>B100*$D$180*0.01</f>
        <v>813.99999999999989</v>
      </c>
      <c r="C107" s="6"/>
      <c r="D107" s="50">
        <f t="shared" si="4"/>
        <v>1159.3557278104715</v>
      </c>
      <c r="E107" s="50">
        <f t="shared" si="4"/>
        <v>1159.673974646591</v>
      </c>
      <c r="F107" s="50">
        <f t="shared" si="4"/>
        <v>1159.9922214827102</v>
      </c>
      <c r="G107" s="50">
        <f t="shared" si="4"/>
        <v>1160.3104683188296</v>
      </c>
      <c r="H107" s="50">
        <f t="shared" si="4"/>
        <v>1160.6287151549493</v>
      </c>
    </row>
    <row r="108" spans="1:15" x14ac:dyDescent="0.35">
      <c r="A108" s="104"/>
      <c r="B108" s="104"/>
      <c r="C108" s="104"/>
      <c r="D108" s="104"/>
      <c r="E108" s="104"/>
      <c r="F108" s="104"/>
      <c r="G108" s="104"/>
      <c r="H108" s="104"/>
    </row>
    <row r="109" spans="1:15" x14ac:dyDescent="0.35">
      <c r="A109" s="6" t="s">
        <v>137</v>
      </c>
    </row>
    <row r="110" spans="1:15" ht="15.45" x14ac:dyDescent="0.4">
      <c r="A110" s="7"/>
      <c r="B110" s="7"/>
      <c r="C110" s="317" t="s">
        <v>165</v>
      </c>
      <c r="D110" s="322"/>
      <c r="E110" s="322"/>
      <c r="F110" s="322"/>
      <c r="G110" s="322"/>
      <c r="H110" s="7"/>
    </row>
    <row r="111" spans="1:15" ht="15.45" x14ac:dyDescent="0.4">
      <c r="A111" s="160" t="s">
        <v>181</v>
      </c>
      <c r="B111" s="77">
        <f>F98</f>
        <v>129.41427343480407</v>
      </c>
      <c r="C111" s="32" t="s">
        <v>169</v>
      </c>
      <c r="D111" s="256">
        <f>E35</f>
        <v>129.23727049582718</v>
      </c>
      <c r="E111" s="32" t="s">
        <v>127</v>
      </c>
      <c r="F111" s="144">
        <f>F59</f>
        <v>20.647130052152068</v>
      </c>
      <c r="G111" s="116" t="s">
        <v>167</v>
      </c>
      <c r="H111" s="159">
        <f>E75*0.01</f>
        <v>9.0924471332005943E-2</v>
      </c>
    </row>
    <row r="112" spans="1:15" ht="15.45" x14ac:dyDescent="0.4">
      <c r="A112" s="180"/>
      <c r="B112" s="77"/>
      <c r="C112" s="32"/>
      <c r="D112" s="77"/>
      <c r="E112" s="32"/>
      <c r="F112" s="77"/>
      <c r="G112" s="116"/>
      <c r="H112" s="159"/>
    </row>
    <row r="113" spans="1:14" ht="15.45" x14ac:dyDescent="0.4">
      <c r="A113" s="160" t="s">
        <v>168</v>
      </c>
      <c r="B113" s="162">
        <f>B88</f>
        <v>10</v>
      </c>
      <c r="C113" s="44" t="s">
        <v>166</v>
      </c>
      <c r="D113" s="161"/>
      <c r="E113" s="77">
        <f>F92</f>
        <v>1.0010393277060137</v>
      </c>
      <c r="F113" s="44" t="s">
        <v>193</v>
      </c>
      <c r="G113" s="7"/>
      <c r="H113" s="159">
        <f>H39</f>
        <v>0.70213913039840936</v>
      </c>
    </row>
    <row r="114" spans="1:14" ht="15.45" x14ac:dyDescent="0.4">
      <c r="A114" s="180"/>
      <c r="B114" s="162"/>
      <c r="C114" s="44"/>
      <c r="D114" s="161"/>
      <c r="E114" s="77"/>
      <c r="F114" s="7"/>
      <c r="G114" s="7"/>
      <c r="H114" s="7"/>
    </row>
    <row r="115" spans="1:14" x14ac:dyDescent="0.35">
      <c r="A115" s="7"/>
      <c r="B115" s="7"/>
      <c r="C115" s="7"/>
      <c r="D115" s="7"/>
      <c r="E115" s="7"/>
      <c r="F115" s="7"/>
      <c r="G115" s="7"/>
      <c r="H115" s="7"/>
    </row>
    <row r="116" spans="1:14" x14ac:dyDescent="0.35">
      <c r="A116" s="7"/>
      <c r="B116" s="7"/>
      <c r="C116" s="7"/>
      <c r="D116" s="7"/>
      <c r="E116" s="7"/>
      <c r="F116" s="7"/>
      <c r="G116" s="7"/>
      <c r="H116" s="7"/>
    </row>
    <row r="117" spans="1:14" x14ac:dyDescent="0.35">
      <c r="A117" s="7"/>
      <c r="B117" s="7"/>
      <c r="C117" s="7"/>
      <c r="D117" s="7"/>
      <c r="E117" s="7"/>
      <c r="F117" s="7"/>
      <c r="G117" s="7"/>
      <c r="H117" s="7"/>
    </row>
    <row r="118" spans="1:14" x14ac:dyDescent="0.35">
      <c r="A118" s="7"/>
      <c r="B118" s="7"/>
      <c r="C118" s="7"/>
      <c r="D118" s="7"/>
      <c r="E118" s="7"/>
      <c r="F118" s="7"/>
      <c r="G118" s="7"/>
      <c r="H118" s="7"/>
    </row>
    <row r="119" spans="1:14" ht="15.45" x14ac:dyDescent="0.4">
      <c r="A119" s="7"/>
      <c r="B119" s="7"/>
      <c r="C119" s="7"/>
      <c r="D119" s="7"/>
      <c r="E119" s="7"/>
      <c r="F119" s="7"/>
      <c r="G119" s="7"/>
      <c r="H119" s="7"/>
      <c r="I119" s="38" t="s">
        <v>161</v>
      </c>
      <c r="J119" s="286">
        <f>B96</f>
        <v>122.79999999999998</v>
      </c>
      <c r="K119" s="286">
        <f>B97</f>
        <v>132.79999999999998</v>
      </c>
      <c r="L119" s="286">
        <f>B98</f>
        <v>142.79999999999998</v>
      </c>
      <c r="M119" s="286">
        <f>B99</f>
        <v>152.79999999999998</v>
      </c>
      <c r="N119" s="286">
        <f>B100</f>
        <v>162.79999999999998</v>
      </c>
    </row>
    <row r="120" spans="1:14" ht="15.45" x14ac:dyDescent="0.4">
      <c r="A120" s="7"/>
      <c r="B120" s="7"/>
      <c r="C120" s="7"/>
      <c r="D120" s="7"/>
      <c r="E120" s="7"/>
      <c r="F120" s="7"/>
      <c r="G120" s="7"/>
      <c r="H120" s="7"/>
      <c r="I120" t="s">
        <v>169</v>
      </c>
      <c r="J120" s="286">
        <f>F96</f>
        <v>116.46327668272666</v>
      </c>
      <c r="K120" s="286">
        <f>F97</f>
        <v>122.93877505876536</v>
      </c>
      <c r="L120" s="286">
        <f>F98</f>
        <v>129.41427343480407</v>
      </c>
      <c r="M120" s="286">
        <f>F99</f>
        <v>135.88977181084277</v>
      </c>
      <c r="N120" s="286">
        <f>F100</f>
        <v>142.36527018688147</v>
      </c>
    </row>
    <row r="121" spans="1:14" x14ac:dyDescent="0.35">
      <c r="A121" s="7"/>
      <c r="B121" s="7"/>
      <c r="C121" s="7"/>
      <c r="D121" s="7"/>
      <c r="E121" s="7"/>
      <c r="F121" s="7"/>
      <c r="G121" s="7"/>
      <c r="H121" s="7"/>
    </row>
    <row r="122" spans="1:14" x14ac:dyDescent="0.35">
      <c r="A122" s="7"/>
      <c r="B122" s="7"/>
      <c r="C122" s="7"/>
      <c r="D122" s="7"/>
      <c r="E122" s="7"/>
      <c r="F122" s="7"/>
      <c r="G122" s="7"/>
      <c r="H122" s="7"/>
    </row>
    <row r="123" spans="1:14" x14ac:dyDescent="0.35">
      <c r="A123" s="7"/>
      <c r="B123" s="7"/>
      <c r="C123" s="7"/>
      <c r="D123" s="7"/>
      <c r="E123" s="7"/>
      <c r="F123" s="7"/>
      <c r="G123" s="7"/>
      <c r="H123" s="7"/>
    </row>
    <row r="124" spans="1:14" x14ac:dyDescent="0.35">
      <c r="A124" s="7"/>
      <c r="B124" s="7"/>
      <c r="C124" s="7"/>
      <c r="D124" s="7"/>
      <c r="E124" s="7"/>
      <c r="F124" s="7"/>
      <c r="G124" s="7"/>
      <c r="H124" s="7"/>
    </row>
    <row r="125" spans="1:14" ht="17.600000000000001" x14ac:dyDescent="0.4">
      <c r="A125" s="7"/>
      <c r="B125" s="7"/>
      <c r="C125" s="7"/>
      <c r="D125" s="7"/>
      <c r="E125" s="7"/>
      <c r="F125" s="7"/>
      <c r="G125" s="7"/>
      <c r="H125" s="7"/>
      <c r="I125" s="250"/>
    </row>
    <row r="126" spans="1:14" x14ac:dyDescent="0.35">
      <c r="A126" s="7"/>
      <c r="B126" s="7"/>
      <c r="C126" s="7"/>
      <c r="D126" s="7"/>
      <c r="E126" s="7"/>
      <c r="F126" s="7"/>
      <c r="G126" s="7"/>
      <c r="H126" s="7"/>
    </row>
    <row r="127" spans="1:14" x14ac:dyDescent="0.35">
      <c r="A127" s="7"/>
      <c r="B127" s="7"/>
      <c r="C127" s="7"/>
      <c r="D127" s="7"/>
      <c r="E127" s="7"/>
      <c r="F127" s="7"/>
      <c r="G127" s="7"/>
      <c r="H127" s="7"/>
    </row>
    <row r="128" spans="1:14" x14ac:dyDescent="0.35">
      <c r="A128" s="7"/>
      <c r="B128" s="7"/>
      <c r="C128" s="7"/>
      <c r="D128" s="7"/>
      <c r="E128" s="7"/>
      <c r="F128" s="7"/>
      <c r="G128" s="7"/>
      <c r="H128" s="7"/>
    </row>
    <row r="129" spans="1:23" x14ac:dyDescent="0.35">
      <c r="A129" s="7"/>
      <c r="B129" s="7"/>
      <c r="C129" s="7"/>
      <c r="D129" s="7"/>
      <c r="E129" s="7"/>
      <c r="F129" s="7"/>
      <c r="G129" s="7"/>
      <c r="H129" s="7"/>
    </row>
    <row r="130" spans="1:23" x14ac:dyDescent="0.35">
      <c r="A130" s="7"/>
      <c r="B130" s="7"/>
      <c r="C130" s="7"/>
      <c r="D130" s="7"/>
      <c r="E130" s="7"/>
      <c r="F130" s="7"/>
      <c r="G130" s="7"/>
      <c r="H130" s="7"/>
    </row>
    <row r="131" spans="1:23" x14ac:dyDescent="0.35">
      <c r="A131" s="7"/>
      <c r="B131" s="7"/>
      <c r="C131" s="7"/>
      <c r="D131" s="7"/>
      <c r="E131" s="7"/>
      <c r="F131" s="7"/>
      <c r="G131" s="7"/>
      <c r="H131" s="7"/>
    </row>
    <row r="132" spans="1:23" x14ac:dyDescent="0.35">
      <c r="A132" s="7"/>
      <c r="B132" s="7"/>
      <c r="C132" s="7"/>
      <c r="D132" s="7"/>
      <c r="E132" s="7"/>
      <c r="F132" s="7"/>
      <c r="G132" s="7"/>
      <c r="H132" s="7"/>
    </row>
    <row r="133" spans="1:23" x14ac:dyDescent="0.35">
      <c r="A133" s="7"/>
      <c r="B133" s="7"/>
      <c r="C133" s="7"/>
      <c r="D133" s="7"/>
      <c r="E133" s="7"/>
      <c r="F133" s="7"/>
      <c r="G133" s="7"/>
      <c r="H133" s="7"/>
    </row>
    <row r="134" spans="1:23" x14ac:dyDescent="0.35">
      <c r="A134" s="104"/>
      <c r="B134" s="104"/>
      <c r="C134" s="104"/>
      <c r="D134" s="104"/>
      <c r="E134" s="104"/>
      <c r="F134" s="104"/>
      <c r="G134" s="104"/>
      <c r="H134" s="104"/>
    </row>
    <row r="135" spans="1:23" x14ac:dyDescent="0.35">
      <c r="A135" s="163" t="s">
        <v>170</v>
      </c>
      <c r="B135" s="7"/>
      <c r="C135" s="7"/>
      <c r="D135" s="7"/>
      <c r="E135" s="7"/>
      <c r="F135" s="7"/>
      <c r="G135" s="7"/>
      <c r="H135" s="7"/>
    </row>
    <row r="136" spans="1:23" ht="15.45" thickBot="1" x14ac:dyDescent="0.4">
      <c r="A136" s="154"/>
      <c r="B136" s="275"/>
      <c r="C136" s="275"/>
      <c r="D136" s="275"/>
      <c r="E136" s="276"/>
      <c r="F136" s="275"/>
      <c r="G136" s="275"/>
      <c r="H136" s="154"/>
    </row>
    <row r="137" spans="1:23" ht="18" thickTop="1" x14ac:dyDescent="0.4">
      <c r="A137" s="319" t="s">
        <v>235</v>
      </c>
      <c r="B137" s="311"/>
      <c r="C137" s="311"/>
      <c r="D137" s="311"/>
      <c r="E137" s="311"/>
      <c r="F137" s="311"/>
      <c r="G137" s="311"/>
      <c r="H137" s="311"/>
      <c r="I137" s="112">
        <f>((1-$D$33*0.01)*$E$9)</f>
        <v>98.5</v>
      </c>
      <c r="J137" t="s">
        <v>101</v>
      </c>
    </row>
    <row r="138" spans="1:23" ht="15.45" x14ac:dyDescent="0.4">
      <c r="A138" s="163"/>
      <c r="B138" s="164"/>
      <c r="C138" s="164"/>
      <c r="D138" s="51" t="s">
        <v>236</v>
      </c>
      <c r="F138" s="38"/>
      <c r="G138" s="179" t="s">
        <v>187</v>
      </c>
      <c r="I138" s="50">
        <f>(($E$27*$E$29*0.01)-$E$31-$E$30)</f>
        <v>1053.0252799999998</v>
      </c>
      <c r="J138" t="s">
        <v>22</v>
      </c>
      <c r="Q138" s="262">
        <f>E55</f>
        <v>1597.4577698630139</v>
      </c>
      <c r="R138" s="38" t="s">
        <v>15</v>
      </c>
    </row>
    <row r="139" spans="1:23" ht="15.45" x14ac:dyDescent="0.4">
      <c r="A139" s="188" t="s">
        <v>182</v>
      </c>
      <c r="B139" s="258">
        <v>40</v>
      </c>
      <c r="D139" s="51" t="s">
        <v>188</v>
      </c>
      <c r="F139" s="38"/>
      <c r="G139" s="179" t="s">
        <v>189</v>
      </c>
      <c r="I139" s="185">
        <f>($E$34/$E$27)*100</f>
        <v>129.23727049582718</v>
      </c>
      <c r="N139" s="179" t="s">
        <v>187</v>
      </c>
      <c r="Q139" s="48">
        <f>D53</f>
        <v>80</v>
      </c>
      <c r="R139" s="38" t="s">
        <v>38</v>
      </c>
    </row>
    <row r="140" spans="1:23" ht="15.45" x14ac:dyDescent="0.4">
      <c r="B140" s="317" t="s">
        <v>192</v>
      </c>
      <c r="C140" s="321"/>
      <c r="D140" s="51" t="s">
        <v>183</v>
      </c>
      <c r="G140" s="135" t="s">
        <v>185</v>
      </c>
      <c r="I140" s="182">
        <f>($E$34*$E$33)</f>
        <v>103722.99007999999</v>
      </c>
      <c r="N140" s="179" t="s">
        <v>189</v>
      </c>
      <c r="O140" t="s">
        <v>15</v>
      </c>
      <c r="P140" t="s">
        <v>15</v>
      </c>
      <c r="Q140" t="s">
        <v>64</v>
      </c>
      <c r="R140" s="38" t="s">
        <v>16</v>
      </c>
      <c r="T140" s="38" t="s">
        <v>239</v>
      </c>
    </row>
    <row r="141" spans="1:23" ht="15.45" x14ac:dyDescent="0.4">
      <c r="B141" s="38" t="s">
        <v>190</v>
      </c>
      <c r="C141" s="38" t="s">
        <v>191</v>
      </c>
      <c r="D141" s="51" t="s">
        <v>186</v>
      </c>
      <c r="E141" s="38" t="s">
        <v>197</v>
      </c>
      <c r="F141" s="187" t="s">
        <v>184</v>
      </c>
      <c r="G141" s="179" t="s">
        <v>124</v>
      </c>
      <c r="I141" s="16" t="s">
        <v>194</v>
      </c>
      <c r="J141" s="38" t="s">
        <v>195</v>
      </c>
      <c r="K141" s="38" t="s">
        <v>124</v>
      </c>
      <c r="L141" s="38" t="s">
        <v>127</v>
      </c>
      <c r="M141" s="38"/>
      <c r="N141" s="179" t="s">
        <v>124</v>
      </c>
      <c r="O141" s="38" t="s">
        <v>196</v>
      </c>
      <c r="P141" s="38" t="s">
        <v>28</v>
      </c>
      <c r="Q141" t="s">
        <v>15</v>
      </c>
      <c r="R141" s="38" t="s">
        <v>238</v>
      </c>
      <c r="S141" t="s">
        <v>28</v>
      </c>
      <c r="T141" s="38" t="s">
        <v>16</v>
      </c>
      <c r="W141" s="38"/>
    </row>
    <row r="142" spans="1:23" x14ac:dyDescent="0.35">
      <c r="B142" s="189">
        <f>B96</f>
        <v>122.79999999999998</v>
      </c>
      <c r="C142" s="190">
        <f>B103</f>
        <v>613.99999999999989</v>
      </c>
      <c r="D142" s="192">
        <f>($B142*$E$9*$E$10*0.01+$E$48+$E$50+$R84+$E$31*$E$33+$B$139*$E$33)/($E$27*$E$33*0.01)/(1-($D$30*0.01))</f>
        <v>121.47264419998393</v>
      </c>
      <c r="E142" s="240">
        <f>L142/$E$33</f>
        <v>18.305606530612451</v>
      </c>
      <c r="F142" s="251">
        <f>U142</f>
        <v>9.1109919304914078E-2</v>
      </c>
      <c r="G142" s="254">
        <f>N142/K142</f>
        <v>0.65688919078028873</v>
      </c>
      <c r="I142" s="182">
        <f t="shared" ref="I142:I143" si="5">(($E$27*$D142*0.01)-$E$31-$E$30)</f>
        <v>967.248384941469</v>
      </c>
      <c r="J142" s="261">
        <f t="shared" ref="J142:J143" si="6">I142*$E$33</f>
        <v>95273.965916734698</v>
      </c>
      <c r="K142" s="193">
        <f>($B142*$E$9*$E$10*0.01+$E$48+$E$50+$R84+$E$31*$E$33)/(1-($D$30*0.01))</f>
        <v>93470.863673469372</v>
      </c>
      <c r="L142" s="201">
        <f t="shared" ref="L142:L143" si="7">J142-K142</f>
        <v>1803.1022432653263</v>
      </c>
      <c r="N142" s="62">
        <f>C142*$E$9</f>
        <v>61399.999999999985</v>
      </c>
      <c r="O142" s="97">
        <f>(((SUM($E$42:$E$47)+$E$50)*0.5*(($E$23/365)*$F$53*0.01)))</f>
        <v>334.08248630136978</v>
      </c>
      <c r="P142" s="198">
        <f>($B142*$E$9*$E$10*0.01)*(($E$23/365)*$F$53*0.01)</f>
        <v>1429.8630136986301</v>
      </c>
      <c r="Q142" s="261">
        <f t="shared" ref="Q142:Q143" si="8">((O142+P142)*$Q$139*0.01)</f>
        <v>1411.1563999999998</v>
      </c>
      <c r="R142" s="198">
        <f>(((SUM($E$42:$E$47)+$E$50)*0.5*(($E$23/365))))</f>
        <v>6681.6497260273954</v>
      </c>
      <c r="S142" s="198">
        <f>($B142*$E$9*$E$10*0.01)*(($E$23/365))</f>
        <v>28597.260273972599</v>
      </c>
      <c r="T142" s="199">
        <f t="shared" ref="T142:T143" si="9">R142+S142</f>
        <v>35278.909999999996</v>
      </c>
      <c r="U142" s="257">
        <f>((Q142+L142)/T142)</f>
        <v>9.1109919304914078E-2</v>
      </c>
    </row>
    <row r="143" spans="1:23" x14ac:dyDescent="0.35">
      <c r="B143" s="189">
        <f>B97</f>
        <v>132.79999999999998</v>
      </c>
      <c r="C143" s="190">
        <f>B104</f>
        <v>663.99999999999989</v>
      </c>
      <c r="D143" s="192">
        <f>($B143*$E$9*$E$10*0.01+$E$48+$E$50+$R85+$E$31*$E$33+$B$139*$E$33)/($E$27*$E$33*0.01)/(1-($D$30*0.01))</f>
        <v>127.94814257602262</v>
      </c>
      <c r="E143" s="240">
        <f>L143/$E$33</f>
        <v>18.305606530612302</v>
      </c>
      <c r="F143" s="251">
        <f>U143</f>
        <v>8.7945057530521689E-2</v>
      </c>
      <c r="G143" s="254">
        <f>N143/K143</f>
        <v>0.67296417754183446</v>
      </c>
      <c r="I143" s="182">
        <f t="shared" si="5"/>
        <v>1020.0107457094323</v>
      </c>
      <c r="J143" s="261">
        <f t="shared" si="6"/>
        <v>100471.05845237907</v>
      </c>
      <c r="K143" s="193">
        <f>($B143*$E$9*$E$10*0.01+$E$48+$E$50+$R85+$E$31*$E$33)/(1-($D$30*0.01))</f>
        <v>98667.956209113763</v>
      </c>
      <c r="L143" s="201">
        <f t="shared" si="7"/>
        <v>1803.1022432653117</v>
      </c>
      <c r="N143" s="62">
        <f>C143*$E$9</f>
        <v>66399.999999999985</v>
      </c>
      <c r="O143" s="97">
        <f>(((SUM($E$42:$E$47)+$E$50)*0.5*(($E$23/365)*$F$53*0.01)))</f>
        <v>334.08248630136978</v>
      </c>
      <c r="P143" s="198">
        <f>($B143*$E$9*$E$10*0.01)*(($E$23/365)*$F$53*0.01)</f>
        <v>1546.3013698630134</v>
      </c>
      <c r="Q143" s="261">
        <f t="shared" si="8"/>
        <v>1504.3070849315066</v>
      </c>
      <c r="R143" s="198">
        <f>(((SUM($E$42:$E$47)+$E$50)*0.5*(($E$23/365))))</f>
        <v>6681.6497260273954</v>
      </c>
      <c r="S143" s="198">
        <f>($B143*$E$9*$E$10*0.01)*(($E$23/365))</f>
        <v>30926.027397260266</v>
      </c>
      <c r="T143" s="199">
        <f t="shared" si="9"/>
        <v>37607.677123287664</v>
      </c>
      <c r="U143" s="257">
        <f>((Q143+L143)/T143)</f>
        <v>8.7945057530521689E-2</v>
      </c>
      <c r="V143" s="38" t="s">
        <v>237</v>
      </c>
    </row>
    <row r="144" spans="1:23" ht="15.45" x14ac:dyDescent="0.4">
      <c r="A144" s="32" t="s">
        <v>234</v>
      </c>
      <c r="B144" s="35">
        <f>B98</f>
        <v>142.79999999999998</v>
      </c>
      <c r="C144" s="111">
        <f>B105</f>
        <v>713.99999999999989</v>
      </c>
      <c r="D144" s="191">
        <f>($B144*$E$9*$E$10*0.01+$E$48+$E$50+$R86+$E$31*$E$33+$B$139*$E$33)/($E$27*$E$33*0.01)/(1-($D$30*0.01))</f>
        <v>134.42364095206133</v>
      </c>
      <c r="E144" s="224">
        <f>L144/$E$33</f>
        <v>18.305606530612451</v>
      </c>
      <c r="F144" s="255">
        <f>U144</f>
        <v>8.5149293515782834E-2</v>
      </c>
      <c r="G144" s="159">
        <f>N144/K144</f>
        <v>0.68743047697845894</v>
      </c>
      <c r="I144" s="49">
        <f>(($E$27*$D144*0.01)-$E$31-$E$30)</f>
        <v>1072.7731064773957</v>
      </c>
      <c r="J144" s="147">
        <f>I144*$E$33</f>
        <v>105668.15098802348</v>
      </c>
      <c r="K144" s="252">
        <f>($B144*$E$9*$E$10*0.01+$E$48+$E$50+$R86+$E$31*$E$33)/(1-($D$30*0.01))</f>
        <v>103865.04874475815</v>
      </c>
      <c r="L144" s="253">
        <f>J144-K144</f>
        <v>1803.1022432653263</v>
      </c>
      <c r="M144" s="200"/>
      <c r="N144" s="147">
        <f>C144*$E$9</f>
        <v>71399.999999999985</v>
      </c>
      <c r="O144" s="97">
        <f>(((SUM($E$42:$E$47)+$E$50)*0.5*(($E$23/365)*$F$53*0.01)))</f>
        <v>334.08248630136978</v>
      </c>
      <c r="P144" s="198">
        <f>($B144*$E$9*$E$10*0.01)*(($E$23/365)*$F$53*0.01)</f>
        <v>1662.739726027397</v>
      </c>
      <c r="Q144" s="261">
        <f>((O144+P144)*$Q$139*0.01)</f>
        <v>1597.4577698630133</v>
      </c>
      <c r="R144" s="198">
        <f>(((SUM($E$42:$E$47)+$E$50)*0.5*(($E$23/365))))</f>
        <v>6681.6497260273954</v>
      </c>
      <c r="S144" s="198">
        <f>($B144*$E$9*$E$10*0.01)*(($E$23/365))</f>
        <v>33254.794520547934</v>
      </c>
      <c r="T144" s="199">
        <f>R144+S144</f>
        <v>39936.444246575331</v>
      </c>
      <c r="U144" s="257">
        <f>((Q144+L144)/T144)</f>
        <v>8.5149293515782834E-2</v>
      </c>
      <c r="V144" s="62">
        <f>O54</f>
        <v>39936.444246575345</v>
      </c>
      <c r="W144" s="147">
        <f>T144-V144</f>
        <v>0</v>
      </c>
    </row>
    <row r="145" spans="1:21" x14ac:dyDescent="0.35">
      <c r="B145" s="189">
        <f>B99</f>
        <v>152.79999999999998</v>
      </c>
      <c r="C145" s="190">
        <f>B106</f>
        <v>763.99999999999989</v>
      </c>
      <c r="D145" s="192">
        <f>($B145*$E$9*$E$10*0.01+$E$48+$E$50+$R87+$E$31*$E$33+$B$139*$E$33)/($E$27*$E$33*0.01)/(1-($D$30*0.01))</f>
        <v>140.89913932810003</v>
      </c>
      <c r="E145" s="240">
        <f>L145/$E$33</f>
        <v>18.305606530612302</v>
      </c>
      <c r="F145" s="251">
        <f>U145</f>
        <v>8.2661616606772848E-2</v>
      </c>
      <c r="G145" s="254">
        <f>N145/K145</f>
        <v>0.70051806339995593</v>
      </c>
      <c r="I145" s="182">
        <f t="shared" ref="I145:I146" si="10">(($E$27*$D145*0.01)-$E$31-$E$30)</f>
        <v>1125.5354672453591</v>
      </c>
      <c r="J145" s="261">
        <f t="shared" ref="J145:J146" si="11">I145*$E$33</f>
        <v>110865.24352366787</v>
      </c>
      <c r="K145" s="193">
        <f>($B145*$E$9*$E$10*0.01+$E$48+$E$50+$R87+$E$31*$E$33)/(1-($D$30*0.01))</f>
        <v>109062.14128040256</v>
      </c>
      <c r="L145" s="201">
        <f t="shared" ref="L145:L146" si="12">J145-K145</f>
        <v>1803.1022432653117</v>
      </c>
      <c r="N145" s="62">
        <f>C145*$E$9</f>
        <v>76399.999999999985</v>
      </c>
      <c r="O145" s="97">
        <f>(((SUM($E$42:$E$47)+$E$50)*0.5*(($E$23/365)*$F$53*0.01)))</f>
        <v>334.08248630136978</v>
      </c>
      <c r="P145" s="198">
        <f>($B145*$E$9*$E$10*0.01)*(($E$23/365)*$F$53*0.01)</f>
        <v>1779.1780821917805</v>
      </c>
      <c r="Q145" s="261">
        <f t="shared" ref="Q145:Q146" si="13">((O145+P145)*$Q$139*0.01)</f>
        <v>1690.6084547945206</v>
      </c>
      <c r="R145" s="198">
        <f>(((SUM($E$42:$E$47)+$E$50)*0.5*(($E$23/365))))</f>
        <v>6681.6497260273954</v>
      </c>
      <c r="S145" s="198">
        <f>($B145*$E$9*$E$10*0.01)*(($E$23/365))</f>
        <v>35583.561643835608</v>
      </c>
      <c r="T145" s="199">
        <f t="shared" ref="T145:T146" si="14">R145+S145</f>
        <v>42265.211369863006</v>
      </c>
      <c r="U145" s="257">
        <f>((Q145+L145)/T145)</f>
        <v>8.2661616606772848E-2</v>
      </c>
    </row>
    <row r="146" spans="1:21" x14ac:dyDescent="0.35">
      <c r="B146" s="189">
        <f>B100</f>
        <v>162.79999999999998</v>
      </c>
      <c r="C146" s="190">
        <f>B107</f>
        <v>813.99999999999989</v>
      </c>
      <c r="D146" s="192">
        <f>($B146*$E$9*$E$10*0.01+$E$48+$E$50+$R88+$E$31*$E$33+$B$139*$E$33)/($E$27*$E$33*0.01)/(1-($D$30*0.01))</f>
        <v>147.37463770413876</v>
      </c>
      <c r="E146" s="240">
        <f>L146/$E$33</f>
        <v>18.305606530612597</v>
      </c>
      <c r="F146" s="251">
        <f>U146</f>
        <v>8.0433760435667009E-2</v>
      </c>
      <c r="G146" s="254">
        <f>N146/K146</f>
        <v>0.71241506949933608</v>
      </c>
      <c r="I146" s="182">
        <f t="shared" si="10"/>
        <v>1178.2978280133227</v>
      </c>
      <c r="J146" s="261">
        <f t="shared" si="11"/>
        <v>116062.33605931229</v>
      </c>
      <c r="K146" s="193">
        <f>($B146*$E$9*$E$10*0.01+$E$48+$E$50+$R88+$E$31*$E$33)/(1-($D$30*0.01))</f>
        <v>114259.23381604695</v>
      </c>
      <c r="L146" s="201">
        <f t="shared" si="12"/>
        <v>1803.1022432653408</v>
      </c>
      <c r="N146" s="62">
        <f>C146*$E$9</f>
        <v>81399.999999999985</v>
      </c>
      <c r="O146" s="97">
        <f>(((SUM($E$42:$E$47)+$E$50)*0.5*(($E$23/365)*$F$53*0.01)))</f>
        <v>334.08248630136978</v>
      </c>
      <c r="P146" s="198">
        <f>($B146*$E$9*$E$10*0.01)*(($E$23/365)*$F$53*0.01)</f>
        <v>1895.6164383561641</v>
      </c>
      <c r="Q146" s="261">
        <f t="shared" si="13"/>
        <v>1783.7591397260273</v>
      </c>
      <c r="R146" s="198">
        <f>(((SUM($E$42:$E$47)+$E$50)*0.5*(($E$23/365))))</f>
        <v>6681.6497260273954</v>
      </c>
      <c r="S146" s="198">
        <f>($B146*$E$9*$E$10*0.01)*(($E$23/365))</f>
        <v>37912.328767123276</v>
      </c>
      <c r="T146" s="199">
        <f t="shared" si="14"/>
        <v>44593.978493150673</v>
      </c>
      <c r="U146" s="257">
        <f>((Q146+L146)/T146)</f>
        <v>8.0433760435667009E-2</v>
      </c>
    </row>
    <row r="147" spans="1:21" x14ac:dyDescent="0.35">
      <c r="A147" s="104"/>
      <c r="B147" s="104"/>
      <c r="C147" s="104"/>
      <c r="D147" s="104"/>
      <c r="E147" s="104"/>
      <c r="F147" s="104"/>
      <c r="G147" s="104"/>
      <c r="H147" s="104"/>
    </row>
    <row r="148" spans="1:21" x14ac:dyDescent="0.35">
      <c r="A148" s="265"/>
      <c r="B148" s="265"/>
      <c r="C148" s="265"/>
      <c r="D148" s="265"/>
      <c r="E148" s="265"/>
      <c r="F148" s="265"/>
      <c r="G148" s="265"/>
      <c r="H148" s="265"/>
    </row>
    <row r="149" spans="1:21" x14ac:dyDescent="0.35">
      <c r="A149" s="265"/>
      <c r="B149" s="265"/>
      <c r="C149" s="265"/>
      <c r="D149" s="265"/>
      <c r="E149" s="265"/>
      <c r="F149" s="265"/>
      <c r="G149" s="265"/>
      <c r="H149" s="265"/>
    </row>
    <row r="150" spans="1:21" ht="15.45" x14ac:dyDescent="0.4">
      <c r="A150" s="320" t="s">
        <v>242</v>
      </c>
      <c r="B150" s="320"/>
      <c r="C150" s="320"/>
      <c r="D150" s="320"/>
      <c r="E150" s="320"/>
    </row>
    <row r="151" spans="1:21" x14ac:dyDescent="0.35">
      <c r="A151" s="38" t="s">
        <v>243</v>
      </c>
      <c r="B151" s="38"/>
      <c r="C151" s="266">
        <f>E8</f>
        <v>43753</v>
      </c>
      <c r="D151" s="266">
        <f>E22</f>
        <v>43923</v>
      </c>
      <c r="E151" s="38"/>
    </row>
    <row r="152" spans="1:21" x14ac:dyDescent="0.35">
      <c r="A152" s="38"/>
      <c r="B152" s="38"/>
      <c r="C152" s="38"/>
      <c r="D152" s="38"/>
      <c r="E152" s="38"/>
    </row>
    <row r="153" spans="1:21" ht="15.45" x14ac:dyDescent="0.4">
      <c r="A153" s="38" t="s">
        <v>244</v>
      </c>
      <c r="B153" s="51" t="s">
        <v>51</v>
      </c>
      <c r="C153" s="267">
        <f>E12</f>
        <v>500</v>
      </c>
      <c r="D153" s="267">
        <f>E27</f>
        <v>814.8</v>
      </c>
      <c r="E153" s="38"/>
    </row>
    <row r="154" spans="1:21" x14ac:dyDescent="0.35">
      <c r="A154" s="38" t="s">
        <v>245</v>
      </c>
      <c r="B154" s="38"/>
      <c r="C154" s="38"/>
      <c r="D154" s="38"/>
      <c r="E154" s="38"/>
    </row>
    <row r="155" spans="1:21" x14ac:dyDescent="0.35">
      <c r="A155" s="38" t="s">
        <v>246</v>
      </c>
      <c r="B155" s="38"/>
      <c r="C155" s="38"/>
      <c r="D155" s="38"/>
      <c r="E155" s="38"/>
    </row>
    <row r="156" spans="1:21" x14ac:dyDescent="0.35">
      <c r="A156" s="38" t="s">
        <v>247</v>
      </c>
      <c r="B156" s="51" t="s">
        <v>46</v>
      </c>
      <c r="C156" s="34">
        <v>140</v>
      </c>
      <c r="D156" s="34">
        <v>130</v>
      </c>
      <c r="E156" s="38"/>
    </row>
    <row r="157" spans="1:21" x14ac:dyDescent="0.35">
      <c r="A157" s="38" t="s">
        <v>248</v>
      </c>
      <c r="B157" s="51" t="s">
        <v>51</v>
      </c>
      <c r="C157" s="268">
        <v>500</v>
      </c>
      <c r="D157" s="268">
        <v>800</v>
      </c>
      <c r="E157" s="38"/>
    </row>
    <row r="158" spans="1:21" x14ac:dyDescent="0.35">
      <c r="A158" s="38" t="s">
        <v>249</v>
      </c>
      <c r="B158" s="51" t="s">
        <v>51</v>
      </c>
      <c r="C158" s="268">
        <v>0</v>
      </c>
      <c r="D158" s="268">
        <v>0</v>
      </c>
      <c r="E158" s="38"/>
    </row>
    <row r="159" spans="1:21" x14ac:dyDescent="0.35">
      <c r="A159" s="38" t="s">
        <v>250</v>
      </c>
      <c r="B159" s="51" t="s">
        <v>51</v>
      </c>
      <c r="C159" s="268">
        <v>0</v>
      </c>
      <c r="D159" s="268">
        <v>0</v>
      </c>
      <c r="E159" s="38"/>
    </row>
    <row r="160" spans="1:21" x14ac:dyDescent="0.35">
      <c r="A160" s="38" t="s">
        <v>251</v>
      </c>
      <c r="B160" s="51" t="s">
        <v>46</v>
      </c>
      <c r="C160" s="34">
        <v>0</v>
      </c>
      <c r="D160" s="34">
        <v>0</v>
      </c>
      <c r="E160" s="38"/>
      <c r="I160" s="269" t="s">
        <v>252</v>
      </c>
    </row>
    <row r="161" spans="1:12" ht="15.45" x14ac:dyDescent="0.4">
      <c r="A161" s="32" t="s">
        <v>253</v>
      </c>
      <c r="B161" s="263" t="s">
        <v>46</v>
      </c>
      <c r="C161" s="270">
        <f>I163</f>
        <v>0</v>
      </c>
      <c r="D161" s="270">
        <f>I169</f>
        <v>0</v>
      </c>
      <c r="E161" s="38"/>
      <c r="I161" s="269">
        <f>IF((C153&gt;(C157+C158)),(-C160*0.01*(C153-C157)),0)</f>
        <v>0</v>
      </c>
      <c r="J161" t="s">
        <v>254</v>
      </c>
    </row>
    <row r="162" spans="1:12" x14ac:dyDescent="0.35">
      <c r="A162" s="38"/>
      <c r="B162" s="38"/>
      <c r="C162" s="271"/>
      <c r="D162" s="271"/>
      <c r="E162" s="38"/>
      <c r="I162" s="269">
        <f>IF((C153&lt;C157-C159),(C160*0.01*(C157-C153)),0)</f>
        <v>0</v>
      </c>
      <c r="J162" t="s">
        <v>255</v>
      </c>
    </row>
    <row r="163" spans="1:12" x14ac:dyDescent="0.35">
      <c r="A163" s="38" t="s">
        <v>256</v>
      </c>
      <c r="B163" s="51" t="s">
        <v>46</v>
      </c>
      <c r="C163" s="34">
        <v>0</v>
      </c>
      <c r="D163" s="34">
        <v>0</v>
      </c>
      <c r="E163" s="38"/>
      <c r="I163" s="269">
        <f>(I161+I162)</f>
        <v>0</v>
      </c>
      <c r="J163" t="s">
        <v>257</v>
      </c>
    </row>
    <row r="164" spans="1:12" x14ac:dyDescent="0.35">
      <c r="A164" s="38"/>
      <c r="B164" s="38"/>
      <c r="C164" s="271"/>
      <c r="D164" s="271"/>
      <c r="E164" s="38"/>
    </row>
    <row r="165" spans="1:12" x14ac:dyDescent="0.35">
      <c r="A165" s="38" t="s">
        <v>258</v>
      </c>
      <c r="B165" s="38"/>
      <c r="C165" s="271"/>
      <c r="D165" s="271"/>
      <c r="E165" s="38"/>
    </row>
    <row r="166" spans="1:12" x14ac:dyDescent="0.35">
      <c r="A166" s="38" t="s">
        <v>259</v>
      </c>
      <c r="B166" s="51" t="s">
        <v>46</v>
      </c>
      <c r="C166" s="34">
        <v>0</v>
      </c>
      <c r="D166" s="34">
        <v>0</v>
      </c>
      <c r="E166" s="38"/>
      <c r="I166" s="269" t="s">
        <v>252</v>
      </c>
    </row>
    <row r="167" spans="1:12" x14ac:dyDescent="0.35">
      <c r="A167" s="38" t="s">
        <v>260</v>
      </c>
      <c r="B167" s="51" t="s">
        <v>46</v>
      </c>
      <c r="C167" s="34">
        <v>0</v>
      </c>
      <c r="D167" s="34">
        <v>0</v>
      </c>
      <c r="E167" s="38"/>
      <c r="I167" s="269">
        <f>IF((D153&gt;(D157+D158)),(-D160*0.01*(D153-D157)),0)</f>
        <v>0</v>
      </c>
      <c r="J167" t="s">
        <v>254</v>
      </c>
    </row>
    <row r="168" spans="1:12" x14ac:dyDescent="0.35">
      <c r="A168" s="38" t="s">
        <v>261</v>
      </c>
      <c r="B168" s="51" t="s">
        <v>46</v>
      </c>
      <c r="C168" s="34">
        <v>0</v>
      </c>
      <c r="D168" s="34">
        <v>0</v>
      </c>
      <c r="E168" s="38"/>
      <c r="I168" s="269">
        <f>IF((D153&lt;D157-D159),(D160*0.01*(D157-D153)),0)</f>
        <v>0</v>
      </c>
      <c r="J168" t="s">
        <v>255</v>
      </c>
    </row>
    <row r="169" spans="1:12" x14ac:dyDescent="0.35">
      <c r="A169" s="38" t="s">
        <v>262</v>
      </c>
      <c r="B169" s="51" t="s">
        <v>46</v>
      </c>
      <c r="C169" s="34">
        <v>0</v>
      </c>
      <c r="D169" s="34">
        <v>0</v>
      </c>
      <c r="E169" s="38"/>
      <c r="I169" s="269">
        <f>(I167+I168)</f>
        <v>0</v>
      </c>
      <c r="J169" t="s">
        <v>257</v>
      </c>
    </row>
    <row r="170" spans="1:12" x14ac:dyDescent="0.35">
      <c r="A170" s="272" t="s">
        <v>263</v>
      </c>
      <c r="B170" s="51" t="s">
        <v>46</v>
      </c>
      <c r="C170" s="34">
        <v>0</v>
      </c>
      <c r="D170" s="34">
        <v>0</v>
      </c>
      <c r="E170" s="38"/>
    </row>
    <row r="171" spans="1:12" x14ac:dyDescent="0.35">
      <c r="A171" s="38" t="s">
        <v>264</v>
      </c>
      <c r="B171" s="51" t="s">
        <v>46</v>
      </c>
      <c r="C171" s="240">
        <f>SUM(C166:C170)</f>
        <v>0</v>
      </c>
      <c r="D171" s="240">
        <f>SUM(D166:D170)</f>
        <v>0</v>
      </c>
      <c r="E171" s="38"/>
    </row>
    <row r="172" spans="1:12" x14ac:dyDescent="0.35">
      <c r="A172" s="38"/>
      <c r="B172" s="38"/>
      <c r="C172" s="271"/>
      <c r="D172" s="271"/>
      <c r="E172" s="38"/>
    </row>
    <row r="173" spans="1:12" ht="15.45" x14ac:dyDescent="0.4">
      <c r="A173" s="32" t="s">
        <v>265</v>
      </c>
      <c r="B173" s="263" t="s">
        <v>46</v>
      </c>
      <c r="C173" s="273">
        <f>(C156+C163+C161+C171)</f>
        <v>140</v>
      </c>
      <c r="D173" s="273">
        <f>(D156+D163+D161+D171)</f>
        <v>130</v>
      </c>
      <c r="E173" s="38"/>
    </row>
    <row r="174" spans="1:12" x14ac:dyDescent="0.35">
      <c r="A174" s="274"/>
      <c r="B174" s="274"/>
      <c r="C174" s="274"/>
      <c r="D174" s="274"/>
      <c r="E174" s="274"/>
      <c r="F174" s="38"/>
      <c r="G174" s="38"/>
      <c r="H174" s="38"/>
      <c r="K174" s="36"/>
    </row>
    <row r="175" spans="1:12" ht="15.45" x14ac:dyDescent="0.4">
      <c r="A175" s="317" t="s">
        <v>274</v>
      </c>
      <c r="B175" s="317"/>
      <c r="C175" s="317"/>
      <c r="D175" s="317"/>
      <c r="E175" s="317"/>
      <c r="F175" s="317"/>
      <c r="G175" s="317"/>
      <c r="H175" s="318"/>
    </row>
    <row r="176" spans="1:12" ht="15.45" x14ac:dyDescent="0.4">
      <c r="A176" s="32" t="s">
        <v>50</v>
      </c>
      <c r="B176" s="6"/>
      <c r="C176" s="15" t="s">
        <v>49</v>
      </c>
      <c r="D176" s="15" t="s">
        <v>48</v>
      </c>
      <c r="E176" s="15" t="s">
        <v>47</v>
      </c>
      <c r="K176" s="137"/>
      <c r="L176" s="136"/>
    </row>
    <row r="177" spans="1:8" x14ac:dyDescent="0.35">
      <c r="A177" s="6"/>
      <c r="B177" s="6"/>
      <c r="C177" s="15" t="s">
        <v>46</v>
      </c>
      <c r="D177" s="15" t="s">
        <v>45</v>
      </c>
      <c r="E177" s="15" t="s">
        <v>22</v>
      </c>
    </row>
    <row r="178" spans="1:8" x14ac:dyDescent="0.35">
      <c r="A178" s="6" t="s">
        <v>112</v>
      </c>
      <c r="B178" s="6"/>
      <c r="C178" s="6"/>
      <c r="D178" s="28">
        <f>'1. Stocker-Feeder Budget'!E10</f>
        <v>500</v>
      </c>
      <c r="E178" s="6"/>
    </row>
    <row r="179" spans="1:8" x14ac:dyDescent="0.35">
      <c r="A179" s="6" t="s">
        <v>43</v>
      </c>
      <c r="B179" s="6"/>
      <c r="C179" s="6"/>
      <c r="D179" s="6" t="s">
        <v>44</v>
      </c>
      <c r="E179" s="6"/>
    </row>
    <row r="180" spans="1:8" x14ac:dyDescent="0.35">
      <c r="A180" s="6" t="s">
        <v>42</v>
      </c>
      <c r="B180" s="6"/>
      <c r="C180" s="29">
        <f>E18</f>
        <v>142.79999999999998</v>
      </c>
      <c r="D180" s="28">
        <f>+E10</f>
        <v>500</v>
      </c>
      <c r="E180" s="27">
        <f>(C180*D180*0.01)</f>
        <v>713.99999999999989</v>
      </c>
    </row>
    <row r="181" spans="1:8" x14ac:dyDescent="0.35">
      <c r="A181" s="6" t="s">
        <v>41</v>
      </c>
      <c r="B181" s="6"/>
      <c r="C181" s="31"/>
      <c r="D181" s="6"/>
      <c r="E181" s="30"/>
    </row>
    <row r="182" spans="1:8" ht="15.45" x14ac:dyDescent="0.4">
      <c r="A182" s="6" t="s">
        <v>40</v>
      </c>
      <c r="B182" s="6"/>
      <c r="C182" s="35">
        <f>E35</f>
        <v>129.23727049582718</v>
      </c>
      <c r="D182" s="110">
        <f>E27</f>
        <v>814.8</v>
      </c>
      <c r="E182" s="111">
        <f>(C182*D182*0.01)</f>
        <v>1053.0252799999998</v>
      </c>
    </row>
    <row r="183" spans="1:8" ht="15.45" x14ac:dyDescent="0.4">
      <c r="A183" s="100"/>
      <c r="B183" s="35"/>
      <c r="C183" s="31"/>
      <c r="D183" s="6"/>
      <c r="E183" s="30"/>
    </row>
    <row r="184" spans="1:8" ht="15.45" x14ac:dyDescent="0.4">
      <c r="A184" s="32" t="s">
        <v>134</v>
      </c>
      <c r="B184" s="6"/>
      <c r="C184" s="35">
        <f>E73</f>
        <v>129.4142734348041</v>
      </c>
      <c r="D184" s="110">
        <f>E27</f>
        <v>814.8</v>
      </c>
      <c r="E184" s="111">
        <f>(C184*D184*0.01)</f>
        <v>1054.4674999467838</v>
      </c>
    </row>
    <row r="185" spans="1:8" x14ac:dyDescent="0.35">
      <c r="A185" s="274"/>
      <c r="B185" s="274"/>
      <c r="C185" s="274"/>
      <c r="D185" s="274"/>
      <c r="E185" s="274"/>
      <c r="F185" s="104"/>
      <c r="G185" s="104"/>
      <c r="H185" s="104"/>
    </row>
    <row r="187" spans="1:8" x14ac:dyDescent="0.35">
      <c r="A187" s="6"/>
      <c r="E187" s="5"/>
    </row>
    <row r="188" spans="1:8" x14ac:dyDescent="0.35">
      <c r="A188" s="6" t="s">
        <v>8</v>
      </c>
      <c r="B188" s="6" t="s">
        <v>7</v>
      </c>
      <c r="E188" s="5"/>
    </row>
    <row r="189" spans="1:8" x14ac:dyDescent="0.35">
      <c r="A189" t="s">
        <v>6</v>
      </c>
      <c r="B189" s="4">
        <f>((E9*E12*0.01)*(E35-E18)/E33)</f>
        <v>-68.846342660775662</v>
      </c>
    </row>
    <row r="190" spans="1:8" x14ac:dyDescent="0.35">
      <c r="A190" t="s">
        <v>5</v>
      </c>
      <c r="B190" s="3">
        <f>((E35-B197)*B196*0.01)/E33</f>
        <v>89.493472712927641</v>
      </c>
    </row>
    <row r="191" spans="1:8" x14ac:dyDescent="0.35">
      <c r="A191" t="s">
        <v>4</v>
      </c>
      <c r="B191" s="3">
        <f>(B189+B190)</f>
        <v>20.647130052151979</v>
      </c>
    </row>
    <row r="193" spans="1:2" x14ac:dyDescent="0.35">
      <c r="B193" t="s">
        <v>3</v>
      </c>
    </row>
    <row r="194" spans="1:2" x14ac:dyDescent="0.35">
      <c r="A194" t="s">
        <v>2</v>
      </c>
      <c r="B194" s="2">
        <f>E9*E12</f>
        <v>50000</v>
      </c>
    </row>
    <row r="195" spans="1:2" x14ac:dyDescent="0.35">
      <c r="A195" t="s">
        <v>1</v>
      </c>
      <c r="B195" s="2">
        <f>E33*E27</f>
        <v>80257.799999999988</v>
      </c>
    </row>
    <row r="196" spans="1:2" x14ac:dyDescent="0.35">
      <c r="A196" t="s">
        <v>0</v>
      </c>
      <c r="B196" s="2">
        <f>B195-B194</f>
        <v>30257.799999999988</v>
      </c>
    </row>
    <row r="197" spans="1:2" x14ac:dyDescent="0.35">
      <c r="A197" t="s">
        <v>138</v>
      </c>
      <c r="B197" s="1">
        <f>(E61/B196)*100</f>
        <v>100.10393277060136</v>
      </c>
    </row>
  </sheetData>
  <sheetProtection sheet="1" objects="1" scenarios="1"/>
  <mergeCells count="14">
    <mergeCell ref="A175:H175"/>
    <mergeCell ref="A137:H137"/>
    <mergeCell ref="A150:E150"/>
    <mergeCell ref="B140:C140"/>
    <mergeCell ref="C110:G110"/>
    <mergeCell ref="A1:H1"/>
    <mergeCell ref="D94:H94"/>
    <mergeCell ref="A78:H78"/>
    <mergeCell ref="D85:H85"/>
    <mergeCell ref="D84:H84"/>
    <mergeCell ref="D87:H87"/>
    <mergeCell ref="D89:E89"/>
    <mergeCell ref="G89:H89"/>
    <mergeCell ref="D21:F21"/>
  </mergeCells>
  <phoneticPr fontId="0" type="noConversion"/>
  <pageMargins left="1" right="0.5" top="1" bottom="1" header="0.5" footer="0.5"/>
  <pageSetup scale="56" orientation="portrait" r:id="rId1"/>
  <headerFooter alignWithMargins="0">
    <oddFooter>&amp;L&amp;F&amp;RPage &amp;P of &amp;N</oddFooter>
  </headerFooter>
  <rowBreaks count="2" manualBreakCount="2">
    <brk id="76" max="7" man="1"/>
    <brk id="147" max="7" man="1"/>
  </rowBreaks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55"/>
  <sheetViews>
    <sheetView topLeftCell="A47" workbookViewId="0">
      <selection activeCell="C3" sqref="C3:E3"/>
    </sheetView>
  </sheetViews>
  <sheetFormatPr defaultRowHeight="15" x14ac:dyDescent="0.35"/>
  <cols>
    <col min="1" max="1" width="3.4375" customWidth="1"/>
    <col min="2" max="2" width="33" customWidth="1"/>
    <col min="3" max="3" width="15.75" customWidth="1"/>
    <col min="4" max="4" width="12.0625" customWidth="1"/>
    <col min="5" max="5" width="11.75" customWidth="1"/>
    <col min="6" max="6" width="11.875" customWidth="1"/>
    <col min="8" max="8" width="11.375" customWidth="1"/>
  </cols>
  <sheetData>
    <row r="1" spans="2:9" ht="17.600000000000001" x14ac:dyDescent="0.4">
      <c r="B1" s="311" t="s">
        <v>290</v>
      </c>
      <c r="C1" s="322"/>
      <c r="D1" s="322"/>
      <c r="E1" s="322"/>
      <c r="F1" s="196"/>
      <c r="G1" s="196"/>
      <c r="H1" s="196"/>
      <c r="I1" s="197"/>
    </row>
    <row r="2" spans="2:9" x14ac:dyDescent="0.35">
      <c r="B2" s="203" t="s">
        <v>102</v>
      </c>
      <c r="C2" s="204">
        <f>'1. Stocker-Feeder Budget'!E5</f>
        <v>43713</v>
      </c>
    </row>
    <row r="3" spans="2:9" x14ac:dyDescent="0.35">
      <c r="B3" s="216" t="s">
        <v>232</v>
      </c>
      <c r="C3" s="323" t="s">
        <v>276</v>
      </c>
      <c r="D3" s="324"/>
      <c r="E3" s="324"/>
      <c r="H3" s="207"/>
      <c r="I3" s="208"/>
    </row>
    <row r="4" spans="2:9" x14ac:dyDescent="0.35">
      <c r="B4" t="s">
        <v>224</v>
      </c>
      <c r="C4" s="209">
        <f>'1. Stocker-Feeder Budget'!E8</f>
        <v>43753</v>
      </c>
      <c r="H4" s="207"/>
      <c r="I4" s="210"/>
    </row>
    <row r="5" spans="2:9" x14ac:dyDescent="0.35">
      <c r="B5" s="38" t="s">
        <v>229</v>
      </c>
      <c r="C5" s="236" t="s">
        <v>225</v>
      </c>
      <c r="D5" s="237">
        <v>1</v>
      </c>
    </row>
    <row r="6" spans="2:9" x14ac:dyDescent="0.35">
      <c r="B6" s="205" t="s">
        <v>198</v>
      </c>
      <c r="C6" s="236" t="s">
        <v>269</v>
      </c>
      <c r="D6" s="238"/>
    </row>
    <row r="7" spans="2:9" x14ac:dyDescent="0.35">
      <c r="B7" t="s">
        <v>199</v>
      </c>
      <c r="C7" s="195" t="s">
        <v>101</v>
      </c>
      <c r="D7" s="248">
        <f>'1. Stocker-Feeder Budget'!E9</f>
        <v>100</v>
      </c>
    </row>
    <row r="8" spans="2:9" x14ac:dyDescent="0.35">
      <c r="B8" t="s">
        <v>233</v>
      </c>
      <c r="C8" s="195" t="s">
        <v>101</v>
      </c>
      <c r="D8" s="249">
        <f>'1. Stocker-Feeder Budget'!E33</f>
        <v>98.5</v>
      </c>
    </row>
    <row r="9" spans="2:9" ht="15.45" x14ac:dyDescent="0.4">
      <c r="B9" s="211" t="s">
        <v>200</v>
      </c>
      <c r="C9" s="195"/>
      <c r="D9" s="194" t="s">
        <v>46</v>
      </c>
      <c r="E9" s="194" t="s">
        <v>201</v>
      </c>
    </row>
    <row r="10" spans="2:9" x14ac:dyDescent="0.35">
      <c r="B10" s="247" t="s">
        <v>230</v>
      </c>
      <c r="D10" s="213">
        <f>'1. Stocker-Feeder Budget'!E18</f>
        <v>142.79999999999998</v>
      </c>
      <c r="E10" s="213">
        <f>'1. Stocker-Feeder Budget'!F19</f>
        <v>714</v>
      </c>
    </row>
    <row r="11" spans="2:9" ht="15.45" x14ac:dyDescent="0.4">
      <c r="B11" s="212"/>
      <c r="D11" s="213"/>
      <c r="E11" s="194" t="s">
        <v>116</v>
      </c>
    </row>
    <row r="12" spans="2:9" x14ac:dyDescent="0.35">
      <c r="B12" s="212" t="s">
        <v>202</v>
      </c>
      <c r="C12" s="195"/>
      <c r="D12" s="214">
        <f>'1. Stocker-Feeder Budget'!E35</f>
        <v>129.23727049582718</v>
      </c>
      <c r="E12" s="214">
        <f>'1. Stocker-Feeder Budget'!E34</f>
        <v>1053.0252799999998</v>
      </c>
    </row>
    <row r="13" spans="2:9" x14ac:dyDescent="0.35">
      <c r="B13" s="212"/>
      <c r="C13" s="195"/>
    </row>
    <row r="14" spans="2:9" ht="15.45" x14ac:dyDescent="0.4">
      <c r="B14" s="89" t="s">
        <v>203</v>
      </c>
      <c r="C14" s="244" t="s">
        <v>46</v>
      </c>
      <c r="D14" s="158">
        <f>D12-D10</f>
        <v>-13.562729504172808</v>
      </c>
    </row>
    <row r="15" spans="2:9" x14ac:dyDescent="0.35">
      <c r="C15" s="195"/>
      <c r="D15" s="153"/>
    </row>
    <row r="16" spans="2:9" ht="15.45" x14ac:dyDescent="0.4">
      <c r="B16" s="245" t="s">
        <v>204</v>
      </c>
      <c r="C16" s="244" t="s">
        <v>176</v>
      </c>
      <c r="D16" s="158">
        <f>'1. Stocker-Feeder Budget'!F63</f>
        <v>1.0682531472876415</v>
      </c>
    </row>
    <row r="17" spans="2:8" x14ac:dyDescent="0.35">
      <c r="B17" s="100" t="s">
        <v>205</v>
      </c>
      <c r="C17" s="195"/>
      <c r="D17" s="215"/>
    </row>
    <row r="18" spans="2:8" x14ac:dyDescent="0.35">
      <c r="B18" s="100"/>
      <c r="C18" s="195"/>
      <c r="D18" s="215"/>
    </row>
    <row r="19" spans="2:8" x14ac:dyDescent="0.35">
      <c r="B19" s="216" t="s">
        <v>206</v>
      </c>
      <c r="C19" s="51" t="s">
        <v>231</v>
      </c>
      <c r="D19" s="215">
        <f>'1. Stocker-Feeder Budget'!J43</f>
        <v>0.74829597657463531</v>
      </c>
    </row>
    <row r="20" spans="2:8" x14ac:dyDescent="0.35">
      <c r="B20" s="203" t="s">
        <v>207</v>
      </c>
      <c r="C20" s="51" t="s">
        <v>22</v>
      </c>
      <c r="D20" s="215">
        <f>'1. Stocker-Feeder Budget'!F61</f>
        <v>307.50505350114724</v>
      </c>
    </row>
    <row r="21" spans="2:8" ht="15.45" x14ac:dyDescent="0.4">
      <c r="B21" s="217" t="s">
        <v>208</v>
      </c>
      <c r="C21" s="218" t="s">
        <v>231</v>
      </c>
      <c r="D21" s="219">
        <f>'1. Stocker-Feeder Budget'!F62</f>
        <v>1.0010393277060137</v>
      </c>
    </row>
    <row r="22" spans="2:8" ht="15.45" x14ac:dyDescent="0.4">
      <c r="B22" s="216"/>
      <c r="C22" s="194"/>
      <c r="D22" s="157"/>
    </row>
    <row r="23" spans="2:8" ht="15.45" x14ac:dyDescent="0.4">
      <c r="B23" s="217" t="s">
        <v>130</v>
      </c>
      <c r="C23" s="244" t="s">
        <v>228</v>
      </c>
      <c r="D23" s="221">
        <f>'1. Stocker-Feeder Budget'!D57</f>
        <v>126.70325846193518</v>
      </c>
      <c r="E23" s="221">
        <f>'1. Stocker-Feeder Budget'!F57</f>
        <v>1032.3781499478478</v>
      </c>
    </row>
    <row r="24" spans="2:8" ht="15.45" x14ac:dyDescent="0.4">
      <c r="B24" s="211"/>
      <c r="C24" s="195"/>
      <c r="D24" s="215"/>
    </row>
    <row r="25" spans="2:8" x14ac:dyDescent="0.35">
      <c r="B25" s="222" t="s">
        <v>6</v>
      </c>
      <c r="C25" s="195" t="s">
        <v>116</v>
      </c>
      <c r="D25" s="239">
        <f>'1. Stocker-Feeder Budget'!E69</f>
        <v>-68.846342660775662</v>
      </c>
    </row>
    <row r="26" spans="2:8" x14ac:dyDescent="0.35">
      <c r="B26" s="222" t="s">
        <v>226</v>
      </c>
      <c r="C26" s="195" t="s">
        <v>116</v>
      </c>
      <c r="D26" s="240">
        <f>'1. Stocker-Feeder Budget'!E70</f>
        <v>89.493472712927641</v>
      </c>
    </row>
    <row r="27" spans="2:8" ht="15.45" x14ac:dyDescent="0.4">
      <c r="B27" s="217" t="s">
        <v>287</v>
      </c>
      <c r="C27" s="220" t="s">
        <v>116</v>
      </c>
      <c r="D27" s="223">
        <f>'1. Stocker-Feeder Budget'!E71</f>
        <v>20.647130052152104</v>
      </c>
    </row>
    <row r="28" spans="2:8" ht="15.45" x14ac:dyDescent="0.4">
      <c r="C28" s="194"/>
      <c r="D28" s="224"/>
    </row>
    <row r="29" spans="2:8" ht="15.45" x14ac:dyDescent="0.4">
      <c r="B29" s="217" t="s">
        <v>278</v>
      </c>
      <c r="C29" s="225" t="s">
        <v>70</v>
      </c>
      <c r="D29" s="226">
        <f>'1. Stocker-Feeder Budget'!E75*0.01</f>
        <v>9.0924471332005943E-2</v>
      </c>
    </row>
    <row r="30" spans="2:8" x14ac:dyDescent="0.35">
      <c r="B30" s="205"/>
      <c r="C30" s="207"/>
    </row>
    <row r="31" spans="2:8" ht="15.45" x14ac:dyDescent="0.4">
      <c r="B31" s="32" t="s">
        <v>209</v>
      </c>
    </row>
    <row r="32" spans="2:8" x14ac:dyDescent="0.35">
      <c r="B32" s="205" t="s">
        <v>210</v>
      </c>
      <c r="C32" s="206" t="s">
        <v>51</v>
      </c>
      <c r="D32" s="227">
        <f>'1. Stocker-Feeder Budget'!E12</f>
        <v>500</v>
      </c>
      <c r="G32" s="228"/>
      <c r="H32" s="38"/>
    </row>
    <row r="33" spans="2:9" x14ac:dyDescent="0.35">
      <c r="B33" s="96" t="s">
        <v>211</v>
      </c>
      <c r="C33" s="229" t="s">
        <v>212</v>
      </c>
      <c r="D33" s="230">
        <f>'1. Stocker-Feeder Budget'!E11</f>
        <v>0</v>
      </c>
    </row>
    <row r="34" spans="2:9" ht="15.45" x14ac:dyDescent="0.4">
      <c r="B34" s="89" t="s">
        <v>213</v>
      </c>
      <c r="C34" s="244" t="s">
        <v>214</v>
      </c>
      <c r="D34" s="246">
        <f>'1. Stocker-Feeder Budget'!C40</f>
        <v>170</v>
      </c>
    </row>
    <row r="35" spans="2:9" x14ac:dyDescent="0.35">
      <c r="B35" s="216" t="s">
        <v>227</v>
      </c>
      <c r="C35" s="51" t="s">
        <v>70</v>
      </c>
      <c r="D35" s="242">
        <f>'1. Stocker-Feeder Budget'!D33*0.01</f>
        <v>1.4999999999999999E-2</v>
      </c>
    </row>
    <row r="36" spans="2:9" x14ac:dyDescent="0.35">
      <c r="B36" s="38" t="s">
        <v>215</v>
      </c>
      <c r="C36" s="51"/>
      <c r="D36" s="243">
        <f>'1. Stocker-Feeder Budget'!E22</f>
        <v>43923</v>
      </c>
    </row>
    <row r="37" spans="2:9" x14ac:dyDescent="0.35">
      <c r="B37" s="203" t="s">
        <v>216</v>
      </c>
      <c r="C37" s="207" t="s">
        <v>101</v>
      </c>
      <c r="D37" s="241">
        <f>'1. Stocker-Feeder Budget'!E33</f>
        <v>98.5</v>
      </c>
    </row>
    <row r="38" spans="2:9" x14ac:dyDescent="0.35">
      <c r="B38" t="s">
        <v>217</v>
      </c>
      <c r="C38" s="207" t="s">
        <v>70</v>
      </c>
      <c r="D38" s="231">
        <f>'1. Stocker-Feeder Budget'!E26</f>
        <v>3</v>
      </c>
    </row>
    <row r="39" spans="2:9" x14ac:dyDescent="0.35">
      <c r="B39" t="s">
        <v>218</v>
      </c>
      <c r="C39" s="207" t="s">
        <v>219</v>
      </c>
      <c r="D39" s="232">
        <f>'1. Stocker-Feeder Budget'!E27</f>
        <v>814.8</v>
      </c>
    </row>
    <row r="40" spans="2:9" x14ac:dyDescent="0.35">
      <c r="B40" t="s">
        <v>220</v>
      </c>
      <c r="C40" s="207" t="s">
        <v>219</v>
      </c>
      <c r="D40" s="233">
        <f>'1. Stocker-Feeder Budget'!G36</f>
        <v>307.18578680203035</v>
      </c>
    </row>
    <row r="41" spans="2:9" ht="15.45" x14ac:dyDescent="0.4">
      <c r="B41" s="217" t="s">
        <v>221</v>
      </c>
      <c r="C41" s="225" t="s">
        <v>93</v>
      </c>
      <c r="D41" s="234">
        <f>'1. Stocker-Feeder Budget'!G33</f>
        <v>1.7798705882352934</v>
      </c>
    </row>
    <row r="43" spans="2:9" x14ac:dyDescent="0.35">
      <c r="C43" s="207"/>
      <c r="D43" s="235"/>
    </row>
    <row r="46" spans="2:9" x14ac:dyDescent="0.35">
      <c r="G46" s="100" t="s">
        <v>6</v>
      </c>
      <c r="H46" s="100" t="s">
        <v>222</v>
      </c>
      <c r="I46" s="100" t="s">
        <v>285</v>
      </c>
    </row>
    <row r="47" spans="2:9" x14ac:dyDescent="0.35">
      <c r="F47" s="177" t="s">
        <v>223</v>
      </c>
      <c r="G47" s="153">
        <f>D25</f>
        <v>-68.846342660775662</v>
      </c>
      <c r="H47" s="3">
        <f>D26</f>
        <v>89.493472712927641</v>
      </c>
      <c r="I47" s="4">
        <f>D27</f>
        <v>20.647130052152104</v>
      </c>
    </row>
    <row r="53" spans="5:6" x14ac:dyDescent="0.35">
      <c r="E53" s="3"/>
      <c r="F53" s="1"/>
    </row>
    <row r="54" spans="5:6" x14ac:dyDescent="0.35">
      <c r="E54" s="3"/>
      <c r="F54" s="1"/>
    </row>
    <row r="55" spans="5:6" x14ac:dyDescent="0.35">
      <c r="E55" s="3"/>
      <c r="F55" s="1"/>
    </row>
  </sheetData>
  <sheetProtection sheet="1" objects="1" scenarios="1"/>
  <mergeCells count="2">
    <mergeCell ref="B1:E1"/>
    <mergeCell ref="C3:E3"/>
  </mergeCells>
  <pageMargins left="0.95" right="0.45" top="0.75" bottom="0.75" header="0.3" footer="0.3"/>
  <pageSetup scale="80" orientation="portrait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Stocker-Feeder Budget</vt:lpstr>
      <vt:lpstr>2. Performance Benchmark Report</vt:lpstr>
      <vt:lpstr>'1. Stocker-Feeder Budget'!Print_Area</vt:lpstr>
      <vt:lpstr>'2. Performance Benchmark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2019-09-05T14:04:34Z</cp:lastPrinted>
  <dcterms:created xsi:type="dcterms:W3CDTF">2007-03-18T10:03:30Z</dcterms:created>
  <dcterms:modified xsi:type="dcterms:W3CDTF">2019-09-05T15:37:46Z</dcterms:modified>
</cp:coreProperties>
</file>