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mcgra\Documents\2020 TAMU Additions 5-20-20200\B. Update 2a 2b &amp; 2c Closeout 5-20-2020\"/>
    </mc:Choice>
  </mc:AlternateContent>
  <xr:revisionPtr revIDLastSave="0" documentId="13_ncr:1_{F0C72731-82ED-4B14-ADB9-3E592A57F27A}" xr6:coauthVersionLast="45" xr6:coauthVersionMax="45" xr10:uidLastSave="{00000000-0000-0000-0000-000000000000}"/>
  <bookViews>
    <workbookView xWindow="-103" yWindow="-103" windowWidth="16663" windowHeight="8863" tabRatio="1000" xr2:uid="{00000000-000D-0000-FFFF-FFFF00000000}"/>
  </bookViews>
  <sheets>
    <sheet name="1. Dates&amp;Descripitions" sheetId="16" r:id="rId1"/>
    <sheet name="2.WeanedCalf to Sell Bred Heif " sheetId="4" r:id="rId2"/>
    <sheet name="3. Summary Report" sheetId="17" r:id="rId3"/>
    <sheet name="4.Conventional AI BreedingCost" sheetId="19" r:id="rId4"/>
    <sheet name="5. Conventional AI Summary" sheetId="14" r:id="rId5"/>
    <sheet name="6. Bull Cost" sheetId="9" r:id="rId6"/>
    <sheet name="7. Natural Service Cost" sheetId="15" r:id="rId7"/>
    <sheet name="9.Breeding System Summary" sheetId="21" r:id="rId8"/>
    <sheet name="8. Bull Investment &amp; Costs" sheetId="20" r:id="rId9"/>
    <sheet name="10. Cost Definitions" sheetId="18" r:id="rId10"/>
  </sheets>
  <definedNames>
    <definedName name="_xlnm.Print_Area" localSheetId="0">'1. Dates&amp;Descripitions'!$B$1:$F$39</definedName>
    <definedName name="_xlnm.Print_Area" localSheetId="9">'10. Cost Definitions'!$B$2:$B$12</definedName>
    <definedName name="_xlnm.Print_Area" localSheetId="1">'2.WeanedCalf to Sell Bred Heif '!$B$1:$G$164</definedName>
    <definedName name="_xlnm.Print_Area" localSheetId="2">'3. Summary Report'!$B$1:$E$67</definedName>
    <definedName name="_xlnm.Print_Area" localSheetId="3">'4.Conventional AI BreedingCost'!$B$1:$H$93</definedName>
    <definedName name="_xlnm.Print_Area" localSheetId="4">'5. Conventional AI Summary'!$B$1:$G$58</definedName>
    <definedName name="_xlnm.Print_Area" localSheetId="5">'6. Bull Cost'!$B$1:$I$58</definedName>
    <definedName name="_xlnm.Print_Area" localSheetId="6">'7. Natural Service Cost'!$B$1:$I$32</definedName>
    <definedName name="_xlnm.Print_Area" localSheetId="8">'8. Bull Investment &amp; Costs'!$B$2:$F$41</definedName>
    <definedName name="_xlnm.Print_Area" localSheetId="7">'9.Breeding System Summary'!$A$1:$K$72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1" i="4" l="1"/>
  <c r="E12" i="9" l="1"/>
  <c r="H45" i="9"/>
  <c r="G56" i="9" s="1"/>
  <c r="K54" i="9"/>
  <c r="G54" i="9"/>
  <c r="I54" i="9" s="1"/>
  <c r="K53" i="9"/>
  <c r="G53" i="9"/>
  <c r="I53" i="9" s="1"/>
  <c r="K52" i="9"/>
  <c r="G52" i="9"/>
  <c r="I52" i="9" s="1"/>
  <c r="K51" i="9"/>
  <c r="I51" i="9"/>
  <c r="G51" i="9"/>
  <c r="K50" i="9"/>
  <c r="I50" i="9"/>
  <c r="G50" i="9"/>
  <c r="K49" i="9"/>
  <c r="G49" i="9"/>
  <c r="I49" i="9" s="1"/>
  <c r="K48" i="9"/>
  <c r="K55" i="9" s="1"/>
  <c r="L55" i="9" s="1"/>
  <c r="G48" i="9"/>
  <c r="I48" i="9" s="1"/>
  <c r="I55" i="9" l="1"/>
  <c r="I57" i="9" s="1"/>
  <c r="H57" i="9" l="1"/>
  <c r="E67" i="21" l="1"/>
  <c r="J67" i="21"/>
  <c r="E58" i="21"/>
  <c r="F10" i="9" l="1"/>
  <c r="F11" i="9" l="1"/>
  <c r="F9" i="9"/>
  <c r="C6" i="15"/>
  <c r="E4" i="9"/>
  <c r="D6" i="9" s="1"/>
  <c r="P27" i="9" l="1"/>
  <c r="K10" i="4" l="1"/>
  <c r="C7" i="17" s="1"/>
  <c r="D19" i="4" l="1"/>
  <c r="C20" i="17" s="1"/>
  <c r="D8" i="15" l="1"/>
  <c r="O36" i="4"/>
  <c r="H33" i="21" l="1"/>
  <c r="H37" i="21" s="1"/>
  <c r="H40" i="21"/>
  <c r="H32" i="21"/>
  <c r="H36" i="21" s="1"/>
  <c r="D9" i="21"/>
  <c r="D8" i="21"/>
  <c r="C20" i="21"/>
  <c r="C31" i="21" s="1"/>
  <c r="C48" i="21" s="1"/>
  <c r="G12" i="21"/>
  <c r="D37" i="4" l="1"/>
  <c r="D36" i="4"/>
  <c r="F37" i="20" l="1"/>
  <c r="F36" i="20"/>
  <c r="E39" i="20"/>
  <c r="D39" i="20"/>
  <c r="B3" i="14"/>
  <c r="F39" i="20" l="1"/>
  <c r="B2" i="17"/>
  <c r="C19" i="4"/>
  <c r="C19" i="17"/>
  <c r="D7" i="14" l="1"/>
  <c r="O72" i="4" l="1"/>
  <c r="D6" i="14" l="1"/>
  <c r="K72" i="19" l="1"/>
  <c r="K26" i="19"/>
  <c r="F6" i="4" l="1"/>
  <c r="E10" i="19" s="1"/>
  <c r="H18" i="15"/>
  <c r="D4" i="17" l="1"/>
  <c r="E7" i="14"/>
  <c r="H28" i="15"/>
  <c r="D59" i="19" l="1"/>
  <c r="E41" i="19"/>
  <c r="D13" i="19"/>
  <c r="E86" i="19" l="1"/>
  <c r="D62" i="14" s="1"/>
  <c r="D7" i="20" s="1"/>
  <c r="N72" i="4"/>
  <c r="K5" i="4"/>
  <c r="F55" i="4" l="1"/>
  <c r="D12" i="21" l="1"/>
  <c r="D35" i="15"/>
  <c r="D22" i="20" s="1"/>
  <c r="C51" i="4" l="1"/>
  <c r="E50" i="4"/>
  <c r="E49" i="4"/>
  <c r="F50" i="4"/>
  <c r="F49" i="4"/>
  <c r="F48" i="4"/>
  <c r="F47" i="4"/>
  <c r="C34" i="9"/>
  <c r="C40" i="9" s="1"/>
  <c r="E40" i="9" s="1"/>
  <c r="F52" i="4" l="1"/>
  <c r="D52" i="4" s="1"/>
  <c r="I17" i="4" l="1"/>
  <c r="E48" i="4" l="1"/>
  <c r="D9" i="16" l="1"/>
  <c r="I11" i="4" l="1"/>
  <c r="G11" i="4" l="1"/>
  <c r="E35" i="4" l="1"/>
  <c r="E23" i="17" s="1"/>
  <c r="E34" i="4"/>
  <c r="E22" i="17" s="1"/>
  <c r="C10" i="17" l="1"/>
  <c r="L132" i="4" l="1"/>
  <c r="C70" i="4" l="1"/>
  <c r="C72" i="4" s="1"/>
  <c r="C78" i="4" s="1"/>
  <c r="C20" i="4" l="1"/>
  <c r="C27" i="4"/>
  <c r="D26" i="17" l="1"/>
  <c r="E13" i="4"/>
  <c r="C34" i="4" s="1"/>
  <c r="E15" i="4"/>
  <c r="C6" i="17"/>
  <c r="B12" i="17"/>
  <c r="E16" i="4"/>
  <c r="C8" i="17"/>
  <c r="C5" i="17"/>
  <c r="F63" i="4"/>
  <c r="C13" i="4"/>
  <c r="I28" i="4" s="1"/>
  <c r="C8" i="4"/>
  <c r="E8" i="4"/>
  <c r="D11" i="16"/>
  <c r="C53" i="4"/>
  <c r="K7" i="4"/>
  <c r="F5" i="4"/>
  <c r="C18" i="4" s="1"/>
  <c r="C31" i="9"/>
  <c r="E10" i="4"/>
  <c r="E22" i="4"/>
  <c r="E28" i="14" s="1"/>
  <c r="F53" i="4"/>
  <c r="D23" i="4"/>
  <c r="D24" i="4"/>
  <c r="E25" i="4"/>
  <c r="E47" i="4"/>
  <c r="I54" i="4"/>
  <c r="E18" i="9"/>
  <c r="G29" i="9"/>
  <c r="E42" i="9" s="1"/>
  <c r="G23" i="4"/>
  <c r="G24" i="4"/>
  <c r="D13" i="16"/>
  <c r="C9" i="17"/>
  <c r="C25" i="16"/>
  <c r="D25" i="16" s="1"/>
  <c r="C26" i="4"/>
  <c r="E35" i="9" l="1"/>
  <c r="C65" i="14" s="1"/>
  <c r="C10" i="20" s="1"/>
  <c r="C25" i="20" s="1"/>
  <c r="D25" i="20" s="1"/>
  <c r="F12" i="9"/>
  <c r="J13" i="9" s="1"/>
  <c r="F18" i="9"/>
  <c r="F40" i="9"/>
  <c r="C69" i="14" s="1"/>
  <c r="D41" i="20"/>
  <c r="G35" i="9"/>
  <c r="N76" i="4"/>
  <c r="C4" i="17"/>
  <c r="I8" i="4"/>
  <c r="I9" i="4"/>
  <c r="C18" i="17"/>
  <c r="I15" i="4"/>
  <c r="G10" i="4"/>
  <c r="H10" i="4" s="1"/>
  <c r="E5" i="14"/>
  <c r="C17" i="4"/>
  <c r="J4" i="15" s="1"/>
  <c r="L4" i="15" s="1"/>
  <c r="H67" i="21" s="1"/>
  <c r="C15" i="17"/>
  <c r="D19" i="16"/>
  <c r="C3" i="15"/>
  <c r="I27" i="4"/>
  <c r="J27" i="4" s="1"/>
  <c r="E16" i="9"/>
  <c r="F16" i="9" s="1"/>
  <c r="F15" i="4"/>
  <c r="F34" i="4" s="1"/>
  <c r="D34" i="4" s="1"/>
  <c r="D22" i="17" s="1"/>
  <c r="C31" i="4"/>
  <c r="I14" i="4" s="1"/>
  <c r="D30" i="4" s="1"/>
  <c r="I10" i="4"/>
  <c r="D26" i="4" s="1"/>
  <c r="C22" i="17"/>
  <c r="E17" i="9"/>
  <c r="E13" i="9"/>
  <c r="F13" i="9" s="1"/>
  <c r="G40" i="9" l="1"/>
  <c r="N71" i="4" s="1"/>
  <c r="C44" i="15"/>
  <c r="D44" i="15" s="1"/>
  <c r="O71" i="4" s="1"/>
  <c r="E36" i="9"/>
  <c r="C66" i="14" s="1"/>
  <c r="C11" i="20" s="1"/>
  <c r="C26" i="20" s="1"/>
  <c r="D26" i="20" s="1"/>
  <c r="F17" i="9"/>
  <c r="F19" i="9" s="1"/>
  <c r="D69" i="14"/>
  <c r="C15" i="20"/>
  <c r="D66" i="14"/>
  <c r="D11" i="20" s="1"/>
  <c r="C4" i="15"/>
  <c r="I18" i="15" s="1"/>
  <c r="K71" i="19"/>
  <c r="F59" i="4"/>
  <c r="D7" i="19"/>
  <c r="C6" i="21" s="1"/>
  <c r="Q27" i="9"/>
  <c r="E19" i="4"/>
  <c r="J21" i="9"/>
  <c r="L27" i="9"/>
  <c r="C4" i="9"/>
  <c r="C12" i="17"/>
  <c r="J28" i="4"/>
  <c r="G50" i="4"/>
  <c r="F54" i="4"/>
  <c r="E97" i="4" s="1"/>
  <c r="G12" i="4"/>
  <c r="E92" i="4"/>
  <c r="F44" i="4"/>
  <c r="I60" i="4" s="1"/>
  <c r="E19" i="9"/>
  <c r="G36" i="9" l="1"/>
  <c r="D38" i="15"/>
  <c r="J5" i="9"/>
  <c r="F6" i="9"/>
  <c r="C38" i="15"/>
  <c r="E22" i="9"/>
  <c r="J22" i="9" s="1"/>
  <c r="J23" i="9" s="1"/>
  <c r="C30" i="20"/>
  <c r="D62" i="21"/>
  <c r="E62" i="21" s="1"/>
  <c r="D15" i="20"/>
  <c r="C30" i="21"/>
  <c r="C47" i="21" s="1"/>
  <c r="F67" i="21"/>
  <c r="C19" i="21"/>
  <c r="F58" i="21"/>
  <c r="C86" i="19"/>
  <c r="C21" i="19"/>
  <c r="D89" i="19"/>
  <c r="D53" i="19"/>
  <c r="C83" i="19"/>
  <c r="D58" i="19"/>
  <c r="D59" i="4"/>
  <c r="E98" i="4"/>
  <c r="N70" i="4"/>
  <c r="D5" i="14"/>
  <c r="E62" i="14" s="1"/>
  <c r="E7" i="20" s="1"/>
  <c r="D12" i="19"/>
  <c r="K25" i="19"/>
  <c r="C41" i="19"/>
  <c r="C67" i="19"/>
  <c r="C38" i="19"/>
  <c r="H36" i="9"/>
  <c r="L25" i="9"/>
  <c r="H35" i="9"/>
  <c r="I68" i="4" s="1"/>
  <c r="C39" i="9"/>
  <c r="H40" i="9"/>
  <c r="D44" i="4"/>
  <c r="I12" i="4"/>
  <c r="C127" i="4"/>
  <c r="E24" i="9" l="1"/>
  <c r="F7" i="9"/>
  <c r="F22" i="9"/>
  <c r="D30" i="20"/>
  <c r="D71" i="21"/>
  <c r="E71" i="21" s="1"/>
  <c r="H71" i="21" s="1"/>
  <c r="F62" i="21"/>
  <c r="D62" i="19"/>
  <c r="E36" i="21" s="1"/>
  <c r="D61" i="19"/>
  <c r="D36" i="21" s="1"/>
  <c r="F36" i="21" s="1"/>
  <c r="E22" i="20"/>
  <c r="E15" i="20"/>
  <c r="E69" i="14"/>
  <c r="E66" i="14"/>
  <c r="E11" i="20" s="1"/>
  <c r="K74" i="19"/>
  <c r="K28" i="19"/>
  <c r="D41" i="19"/>
  <c r="D86" i="19"/>
  <c r="C16" i="15"/>
  <c r="D28" i="15"/>
  <c r="D28" i="19"/>
  <c r="H28" i="19" s="1"/>
  <c r="D35" i="19"/>
  <c r="H35" i="19" s="1"/>
  <c r="D81" i="19"/>
  <c r="H81" i="19" s="1"/>
  <c r="G81" i="19" s="1"/>
  <c r="D79" i="19"/>
  <c r="H79" i="19" s="1"/>
  <c r="F79" i="19" s="1"/>
  <c r="D73" i="19"/>
  <c r="H73" i="19" s="1"/>
  <c r="F73" i="19" s="1"/>
  <c r="D30" i="19"/>
  <c r="H30" i="19" s="1"/>
  <c r="D24" i="19"/>
  <c r="H24" i="19" s="1"/>
  <c r="F24" i="19" s="1"/>
  <c r="D69" i="19"/>
  <c r="H69" i="19" s="1"/>
  <c r="D71" i="19"/>
  <c r="H71" i="19" s="1"/>
  <c r="D76" i="19"/>
  <c r="H76" i="19" s="1"/>
  <c r="F76" i="19" s="1"/>
  <c r="H33" i="19"/>
  <c r="D70" i="19"/>
  <c r="H70" i="19" s="1"/>
  <c r="F70" i="19" s="1"/>
  <c r="D36" i="19"/>
  <c r="H36" i="19" s="1"/>
  <c r="G36" i="19" s="1"/>
  <c r="D32" i="19"/>
  <c r="H32" i="19" s="1"/>
  <c r="D78" i="19"/>
  <c r="H78" i="19" s="1"/>
  <c r="F78" i="19" s="1"/>
  <c r="D80" i="19"/>
  <c r="H80" i="19" s="1"/>
  <c r="F80" i="19" s="1"/>
  <c r="D29" i="19"/>
  <c r="H29" i="19" s="1"/>
  <c r="G29" i="19" s="1"/>
  <c r="D72" i="19"/>
  <c r="H72" i="19" s="1"/>
  <c r="F72" i="19" s="1"/>
  <c r="D26" i="19"/>
  <c r="H26" i="19" s="1"/>
  <c r="D75" i="19"/>
  <c r="H75" i="19" s="1"/>
  <c r="D82" i="19"/>
  <c r="H82" i="19" s="1"/>
  <c r="F82" i="19" s="1"/>
  <c r="D25" i="19"/>
  <c r="H25" i="19" s="1"/>
  <c r="F25" i="19" s="1"/>
  <c r="D34" i="19"/>
  <c r="H34" i="19" s="1"/>
  <c r="F34" i="19" s="1"/>
  <c r="D27" i="19"/>
  <c r="H27" i="19" s="1"/>
  <c r="D23" i="19"/>
  <c r="H23" i="19" s="1"/>
  <c r="D37" i="19"/>
  <c r="H37" i="19" s="1"/>
  <c r="F37" i="19" s="1"/>
  <c r="D74" i="19"/>
  <c r="H74" i="19" s="1"/>
  <c r="G74" i="19" s="1"/>
  <c r="D16" i="19"/>
  <c r="E32" i="21" s="1"/>
  <c r="D44" i="19"/>
  <c r="D15" i="19"/>
  <c r="D32" i="21" s="1"/>
  <c r="J6" i="15"/>
  <c r="D10" i="15"/>
  <c r="E35" i="15"/>
  <c r="O70" i="4"/>
  <c r="L28" i="9"/>
  <c r="D65" i="14"/>
  <c r="D10" i="20" s="1"/>
  <c r="D39" i="15"/>
  <c r="O73" i="4" s="1"/>
  <c r="I71" i="4" s="1"/>
  <c r="C39" i="15"/>
  <c r="E34" i="9"/>
  <c r="D127" i="4"/>
  <c r="C128" i="4"/>
  <c r="C126" i="4"/>
  <c r="G22" i="9" l="1"/>
  <c r="G10" i="9"/>
  <c r="F24" i="9"/>
  <c r="L29" i="9" s="1"/>
  <c r="G16" i="9"/>
  <c r="G13" i="9"/>
  <c r="G9" i="9"/>
  <c r="G18" i="9"/>
  <c r="G12" i="9"/>
  <c r="G17" i="9"/>
  <c r="G19" i="9"/>
  <c r="G11" i="9"/>
  <c r="F71" i="21"/>
  <c r="E25" i="20"/>
  <c r="E26" i="20"/>
  <c r="F32" i="21"/>
  <c r="G32" i="21" s="1"/>
  <c r="D11" i="15"/>
  <c r="D40" i="21"/>
  <c r="G36" i="21"/>
  <c r="I36" i="21"/>
  <c r="E30" i="20"/>
  <c r="F36" i="19"/>
  <c r="G28" i="19"/>
  <c r="F28" i="19"/>
  <c r="D22" i="15"/>
  <c r="I22" i="15" s="1"/>
  <c r="F22" i="15" s="1"/>
  <c r="F18" i="15"/>
  <c r="D20" i="15"/>
  <c r="I20" i="15" s="1"/>
  <c r="F20" i="15" s="1"/>
  <c r="D19" i="15"/>
  <c r="I19" i="15" s="1"/>
  <c r="F19" i="15" s="1"/>
  <c r="D21" i="15"/>
  <c r="I21" i="15" s="1"/>
  <c r="F21" i="15" s="1"/>
  <c r="D23" i="15"/>
  <c r="I23" i="15" s="1"/>
  <c r="F23" i="15" s="1"/>
  <c r="F81" i="19"/>
  <c r="F35" i="19"/>
  <c r="D63" i="19"/>
  <c r="D65" i="19"/>
  <c r="F58" i="19" s="1"/>
  <c r="F32" i="19"/>
  <c r="F69" i="19"/>
  <c r="H83" i="19"/>
  <c r="D19" i="19"/>
  <c r="F12" i="19" s="1"/>
  <c r="D17" i="19"/>
  <c r="F23" i="19"/>
  <c r="H38" i="19"/>
  <c r="F26" i="19"/>
  <c r="F33" i="19"/>
  <c r="F29" i="19"/>
  <c r="F74" i="19"/>
  <c r="F30" i="19"/>
  <c r="F75" i="19"/>
  <c r="F27" i="19"/>
  <c r="F71" i="19"/>
  <c r="E44" i="15"/>
  <c r="E38" i="15"/>
  <c r="G34" i="9"/>
  <c r="G37" i="9" s="1"/>
  <c r="E37" i="9"/>
  <c r="Q28" i="9"/>
  <c r="P28" i="9"/>
  <c r="E39" i="15"/>
  <c r="C37" i="15"/>
  <c r="C41" i="15" s="1"/>
  <c r="C64" i="14"/>
  <c r="D37" i="15"/>
  <c r="I26" i="15" s="1"/>
  <c r="F26" i="15" s="1"/>
  <c r="E24" i="21" s="1"/>
  <c r="N73" i="4"/>
  <c r="E65" i="14"/>
  <c r="E10" i="20" s="1"/>
  <c r="D126" i="4"/>
  <c r="C125" i="4"/>
  <c r="D125" i="4" s="1"/>
  <c r="D128" i="4"/>
  <c r="C129" i="4"/>
  <c r="D129" i="4" s="1"/>
  <c r="M134" i="4"/>
  <c r="P127" i="4"/>
  <c r="G24" i="9" l="1"/>
  <c r="G20" i="9"/>
  <c r="M70" i="4"/>
  <c r="Q29" i="9"/>
  <c r="P29" i="9"/>
  <c r="I32" i="21"/>
  <c r="J36" i="4"/>
  <c r="E9" i="21"/>
  <c r="J35" i="4"/>
  <c r="E8" i="21"/>
  <c r="D12" i="15"/>
  <c r="E40" i="21"/>
  <c r="F40" i="21" s="1"/>
  <c r="I40" i="21" s="1"/>
  <c r="G52" i="21" s="1"/>
  <c r="C67" i="14"/>
  <c r="C9" i="20"/>
  <c r="H19" i="15"/>
  <c r="I24" i="15"/>
  <c r="F24" i="15" s="1"/>
  <c r="D24" i="21" s="1"/>
  <c r="F24" i="21" s="1"/>
  <c r="I52" i="21" s="1"/>
  <c r="F38" i="19"/>
  <c r="D21" i="21" s="1"/>
  <c r="F59" i="19"/>
  <c r="F61" i="19" s="1"/>
  <c r="D37" i="21" s="1"/>
  <c r="F13" i="19"/>
  <c r="F83" i="19"/>
  <c r="D22" i="21" s="1"/>
  <c r="D41" i="15"/>
  <c r="O74" i="4"/>
  <c r="O75" i="4" s="1"/>
  <c r="E37" i="15"/>
  <c r="I70" i="4"/>
  <c r="I73" i="4" s="1"/>
  <c r="F66" i="4" s="1"/>
  <c r="D64" i="14"/>
  <c r="D9" i="20" s="1"/>
  <c r="D12" i="20" s="1"/>
  <c r="H34" i="9"/>
  <c r="H37" i="9"/>
  <c r="M71" i="4"/>
  <c r="T126" i="4" s="1"/>
  <c r="O134" i="4"/>
  <c r="P129" i="4"/>
  <c r="P128" i="4"/>
  <c r="N134" i="4"/>
  <c r="P125" i="4"/>
  <c r="K134" i="4"/>
  <c r="L134" i="4"/>
  <c r="P126" i="4"/>
  <c r="F12" i="21" l="1"/>
  <c r="H12" i="21" s="1"/>
  <c r="J12" i="15"/>
  <c r="C38" i="4"/>
  <c r="D38" i="4" s="1"/>
  <c r="F38" i="4" s="1"/>
  <c r="D30" i="15"/>
  <c r="J38" i="4"/>
  <c r="F35" i="15"/>
  <c r="F41" i="15" s="1"/>
  <c r="F62" i="19"/>
  <c r="F63" i="19" s="1"/>
  <c r="C24" i="20"/>
  <c r="D24" i="20" s="1"/>
  <c r="E24" i="20" s="1"/>
  <c r="C12" i="20"/>
  <c r="N74" i="4"/>
  <c r="N75" i="4" s="1"/>
  <c r="D67" i="14"/>
  <c r="K27" i="19"/>
  <c r="K29" i="19" s="1"/>
  <c r="F41" i="19" s="1"/>
  <c r="K73" i="19"/>
  <c r="K75" i="19" s="1"/>
  <c r="F86" i="19" s="1"/>
  <c r="I28" i="15"/>
  <c r="G73" i="19"/>
  <c r="G75" i="19"/>
  <c r="F16" i="19"/>
  <c r="F15" i="19"/>
  <c r="D33" i="21" s="1"/>
  <c r="E100" i="4"/>
  <c r="D66" i="4"/>
  <c r="E41" i="15"/>
  <c r="E64" i="14"/>
  <c r="T125" i="4"/>
  <c r="T128" i="4"/>
  <c r="T129" i="4"/>
  <c r="T127" i="4"/>
  <c r="M125" i="4"/>
  <c r="M126" i="4" s="1"/>
  <c r="M127" i="4" s="1"/>
  <c r="M128" i="4" s="1"/>
  <c r="M129" i="4" s="1"/>
  <c r="N38" i="4" l="1"/>
  <c r="D52" i="21" s="1"/>
  <c r="E52" i="21" s="1"/>
  <c r="C39" i="4"/>
  <c r="D39" i="4" s="1"/>
  <c r="K36" i="4"/>
  <c r="M36" i="4" s="1"/>
  <c r="F9" i="21"/>
  <c r="H86" i="19"/>
  <c r="H89" i="19" s="1"/>
  <c r="G69" i="19" s="1"/>
  <c r="E22" i="21"/>
  <c r="F22" i="21" s="1"/>
  <c r="I50" i="21" s="1"/>
  <c r="C27" i="20"/>
  <c r="D60" i="21"/>
  <c r="E60" i="21" s="1"/>
  <c r="H41" i="19"/>
  <c r="H44" i="19" s="1"/>
  <c r="G23" i="19" s="1"/>
  <c r="E21" i="21"/>
  <c r="F21" i="21" s="1"/>
  <c r="I49" i="21" s="1"/>
  <c r="F38" i="15"/>
  <c r="F44" i="15"/>
  <c r="F39" i="15"/>
  <c r="F37" i="15"/>
  <c r="G62" i="19"/>
  <c r="E37" i="21"/>
  <c r="F37" i="21" s="1"/>
  <c r="G16" i="19"/>
  <c r="D10" i="14" s="1"/>
  <c r="E33" i="21"/>
  <c r="F33" i="21" s="1"/>
  <c r="G65" i="19"/>
  <c r="I65" i="19" s="1"/>
  <c r="N36" i="4" s="1"/>
  <c r="D50" i="21" s="1"/>
  <c r="E50" i="21" s="1"/>
  <c r="E67" i="14"/>
  <c r="E9" i="20"/>
  <c r="E12" i="20" s="1"/>
  <c r="F28" i="15"/>
  <c r="E58" i="4" s="1"/>
  <c r="F30" i="15"/>
  <c r="J24" i="21" s="1"/>
  <c r="G23" i="15"/>
  <c r="G24" i="15"/>
  <c r="G18" i="15"/>
  <c r="G26" i="15"/>
  <c r="G22" i="15"/>
  <c r="G20" i="15"/>
  <c r="G19" i="15"/>
  <c r="G21" i="15"/>
  <c r="G61" i="19"/>
  <c r="F17" i="19"/>
  <c r="F8" i="21" s="1"/>
  <c r="G15" i="19"/>
  <c r="G80" i="19" l="1"/>
  <c r="G78" i="19"/>
  <c r="G82" i="19"/>
  <c r="G86" i="19"/>
  <c r="F89" i="19"/>
  <c r="E57" i="4" s="1"/>
  <c r="F57" i="4" s="1"/>
  <c r="D57" i="4" s="1"/>
  <c r="G41" i="19"/>
  <c r="G24" i="19"/>
  <c r="G26" i="19"/>
  <c r="G32" i="19"/>
  <c r="G33" i="19"/>
  <c r="G83" i="19"/>
  <c r="G71" i="19"/>
  <c r="G37" i="19"/>
  <c r="F44" i="19"/>
  <c r="E56" i="4" s="1"/>
  <c r="F56" i="4" s="1"/>
  <c r="D56" i="4" s="1"/>
  <c r="G25" i="19"/>
  <c r="G30" i="19"/>
  <c r="G27" i="19"/>
  <c r="G34" i="19"/>
  <c r="G79" i="19"/>
  <c r="G38" i="19"/>
  <c r="G70" i="19"/>
  <c r="G76" i="19"/>
  <c r="G72" i="19"/>
  <c r="G35" i="19"/>
  <c r="F39" i="4"/>
  <c r="D91" i="19"/>
  <c r="G91" i="19" s="1"/>
  <c r="J22" i="21" s="1"/>
  <c r="G63" i="19"/>
  <c r="E65" i="19" s="1"/>
  <c r="E39" i="4"/>
  <c r="I33" i="21"/>
  <c r="I34" i="21" s="1"/>
  <c r="F34" i="21"/>
  <c r="H58" i="21" s="1"/>
  <c r="H62" i="21" s="1"/>
  <c r="I37" i="21"/>
  <c r="I38" i="21" s="1"/>
  <c r="F38" i="21"/>
  <c r="G8" i="21"/>
  <c r="H8" i="21"/>
  <c r="F60" i="21"/>
  <c r="G9" i="21"/>
  <c r="H9" i="21"/>
  <c r="D27" i="20"/>
  <c r="E27" i="20" s="1"/>
  <c r="D69" i="21"/>
  <c r="E69" i="21" s="1"/>
  <c r="C36" i="4"/>
  <c r="K35" i="4"/>
  <c r="H65" i="19"/>
  <c r="G19" i="19"/>
  <c r="D46" i="19" s="1"/>
  <c r="G17" i="19"/>
  <c r="D11" i="14" s="1"/>
  <c r="F62" i="14" s="1"/>
  <c r="D9" i="14"/>
  <c r="C15" i="16"/>
  <c r="C13" i="17"/>
  <c r="E99" i="4" l="1"/>
  <c r="H22" i="21"/>
  <c r="H60" i="21"/>
  <c r="F36" i="4"/>
  <c r="G50" i="21"/>
  <c r="J38" i="21"/>
  <c r="I22" i="21"/>
  <c r="G49" i="21"/>
  <c r="J40" i="21"/>
  <c r="G46" i="19"/>
  <c r="J21" i="21" s="1"/>
  <c r="H21" i="21"/>
  <c r="H69" i="21"/>
  <c r="F69" i="21"/>
  <c r="C37" i="4"/>
  <c r="F37" i="4" s="1"/>
  <c r="M35" i="4"/>
  <c r="I19" i="19"/>
  <c r="N35" i="4" s="1"/>
  <c r="H19" i="19"/>
  <c r="H15" i="19"/>
  <c r="F66" i="14"/>
  <c r="F11" i="20" s="1"/>
  <c r="F7" i="20"/>
  <c r="C24" i="17"/>
  <c r="H62" i="19"/>
  <c r="H61" i="19"/>
  <c r="F69" i="14"/>
  <c r="F65" i="14"/>
  <c r="F10" i="20" s="1"/>
  <c r="F64" i="14"/>
  <c r="F9" i="20" s="1"/>
  <c r="F67" i="14"/>
  <c r="E19" i="19"/>
  <c r="H16" i="19"/>
  <c r="C86" i="4" l="1"/>
  <c r="C81" i="4" s="1"/>
  <c r="D49" i="21"/>
  <c r="E49" i="21" s="1"/>
  <c r="O35" i="4"/>
  <c r="C35" i="4" s="1"/>
  <c r="D35" i="4" s="1"/>
  <c r="I21" i="21"/>
  <c r="F22" i="20"/>
  <c r="F15" i="20"/>
  <c r="F12" i="20"/>
  <c r="C84" i="4" l="1"/>
  <c r="C88" i="4"/>
  <c r="C41" i="4"/>
  <c r="F30" i="20"/>
  <c r="F25" i="20"/>
  <c r="F26" i="20"/>
  <c r="F24" i="20"/>
  <c r="I22" i="4"/>
  <c r="C40" i="4"/>
  <c r="F40" i="4" s="1"/>
  <c r="F86" i="4" s="1"/>
  <c r="E20" i="4"/>
  <c r="F27" i="20" l="1"/>
  <c r="H50" i="4"/>
  <c r="I16" i="4"/>
  <c r="I18" i="4" s="1"/>
  <c r="F22" i="4"/>
  <c r="I21" i="4"/>
  <c r="C25" i="17"/>
  <c r="C26" i="17"/>
  <c r="G56" i="4"/>
  <c r="C115" i="4"/>
  <c r="D119" i="4" s="1"/>
  <c r="G61" i="4"/>
  <c r="G55" i="4"/>
  <c r="G66" i="4"/>
  <c r="G54" i="4"/>
  <c r="G63" i="4"/>
  <c r="G53" i="4"/>
  <c r="C23" i="17" l="1"/>
  <c r="C100" i="4"/>
  <c r="C98" i="4"/>
  <c r="C27" i="17"/>
  <c r="C80" i="4"/>
  <c r="C97" i="4"/>
  <c r="C92" i="4"/>
  <c r="C14" i="14" s="1"/>
  <c r="C118" i="4"/>
  <c r="H49" i="21" l="1"/>
  <c r="J49" i="21" s="1"/>
  <c r="C20" i="14"/>
  <c r="C35" i="17"/>
  <c r="C30" i="17"/>
  <c r="H52" i="21" l="1"/>
  <c r="J52" i="21" s="1"/>
  <c r="K52" i="21" s="1"/>
  <c r="H50" i="21"/>
  <c r="J50" i="21" s="1"/>
  <c r="K50" i="21" s="1"/>
  <c r="J54" i="4"/>
  <c r="G52" i="4" l="1"/>
  <c r="E96" i="4"/>
  <c r="C96" i="4" l="1"/>
  <c r="C18" i="14" l="1"/>
  <c r="C34" i="17"/>
  <c r="G57" i="4"/>
  <c r="F58" i="4" l="1"/>
  <c r="D58" i="4" s="1"/>
  <c r="G58" i="4" l="1"/>
  <c r="M56" i="4"/>
  <c r="E101" i="4" l="1"/>
  <c r="C99" i="4"/>
  <c r="C37" i="17" s="1"/>
  <c r="C101" i="4" l="1"/>
  <c r="C21" i="14" s="1"/>
  <c r="F60" i="4" l="1"/>
  <c r="G59" i="4"/>
  <c r="D60" i="4" l="1"/>
  <c r="G60" i="4"/>
  <c r="C36" i="17"/>
  <c r="C19" i="14" l="1"/>
  <c r="D24" i="17" l="1"/>
  <c r="D25" i="17" l="1"/>
  <c r="D86" i="4" l="1"/>
  <c r="C28" i="14" l="1"/>
  <c r="J132" i="4"/>
  <c r="C44" i="17"/>
  <c r="F114" i="4"/>
  <c r="F28" i="14" l="1"/>
  <c r="D23" i="17" l="1"/>
  <c r="D28" i="17" s="1"/>
  <c r="F35" i="4"/>
  <c r="F80" i="4" s="1"/>
  <c r="E93" i="4" s="1"/>
  <c r="C93" i="4" l="1"/>
  <c r="E95" i="4"/>
  <c r="C116" i="4"/>
  <c r="D80" i="4"/>
  <c r="F41" i="4"/>
  <c r="G34" i="4" l="1"/>
  <c r="G38" i="4"/>
  <c r="G37" i="4"/>
  <c r="I58" i="4"/>
  <c r="G40" i="4"/>
  <c r="D41" i="4"/>
  <c r="D27" i="17" s="1"/>
  <c r="G36" i="4"/>
  <c r="C31" i="17"/>
  <c r="C15" i="14"/>
  <c r="C17" i="14" s="1"/>
  <c r="C95" i="4"/>
  <c r="C33" i="17" s="1"/>
  <c r="G35" i="4"/>
  <c r="D21" i="16"/>
  <c r="C23" i="16"/>
  <c r="D23" i="16" s="1"/>
  <c r="C17" i="16"/>
  <c r="C28" i="4" s="1"/>
  <c r="C29" i="4" l="1"/>
  <c r="C14" i="17"/>
  <c r="C17" i="17" s="1"/>
  <c r="C16" i="17" s="1"/>
  <c r="I13" i="4" l="1"/>
  <c r="D29" i="4" s="1"/>
  <c r="I29" i="4"/>
  <c r="I30" i="4" l="1"/>
  <c r="J29" i="4"/>
  <c r="J30" i="4" s="1"/>
  <c r="I19" i="4" l="1"/>
  <c r="C11" i="17" s="1"/>
  <c r="D62" i="4"/>
  <c r="F62" i="4" s="1"/>
  <c r="J31" i="4"/>
  <c r="F107" i="4"/>
  <c r="C46" i="4"/>
  <c r="E45" i="4" s="1"/>
  <c r="I63" i="4"/>
  <c r="N60" i="4" s="1"/>
  <c r="G62" i="4" l="1"/>
  <c r="F64" i="4"/>
  <c r="S126" i="4"/>
  <c r="S129" i="4"/>
  <c r="L129" i="4"/>
  <c r="L125" i="4"/>
  <c r="S125" i="4"/>
  <c r="S127" i="4"/>
  <c r="L127" i="4"/>
  <c r="L61" i="4"/>
  <c r="L128" i="4"/>
  <c r="S128" i="4"/>
  <c r="L126" i="4"/>
  <c r="E103" i="4" l="1"/>
  <c r="I62" i="4"/>
  <c r="N62" i="4" s="1"/>
  <c r="N64" i="4" s="1"/>
  <c r="I61" i="4"/>
  <c r="C117" i="4"/>
  <c r="Q127" i="4"/>
  <c r="D64" i="4"/>
  <c r="G64" i="4"/>
  <c r="Q128" i="4" l="1"/>
  <c r="Q126" i="4"/>
  <c r="Q125" i="4"/>
  <c r="R127" i="4"/>
  <c r="U127" i="4" s="1"/>
  <c r="N127" i="4"/>
  <c r="D67" i="4"/>
  <c r="F67" i="4" s="1"/>
  <c r="C103" i="4"/>
  <c r="I64" i="4"/>
  <c r="V121" i="4"/>
  <c r="V122" i="4" l="1"/>
  <c r="C23" i="14"/>
  <c r="C38" i="17"/>
  <c r="R125" i="4"/>
  <c r="U125" i="4" s="1"/>
  <c r="F68" i="4"/>
  <c r="G67" i="4"/>
  <c r="R126" i="4"/>
  <c r="U126" i="4" s="1"/>
  <c r="N126" i="4"/>
  <c r="N128" i="4"/>
  <c r="K127" i="4"/>
  <c r="R128" i="4"/>
  <c r="U128" i="4" s="1"/>
  <c r="Q129" i="4"/>
  <c r="N129" i="4" l="1"/>
  <c r="K129" i="4" s="1"/>
  <c r="W129" i="4" s="1"/>
  <c r="X129" i="4" s="1"/>
  <c r="G129" i="4" s="1"/>
  <c r="K128" i="4"/>
  <c r="J127" i="4"/>
  <c r="F127" i="4"/>
  <c r="E119" i="4" s="1"/>
  <c r="W127" i="4"/>
  <c r="X127" i="4" s="1"/>
  <c r="G127" i="4" s="1"/>
  <c r="E127" i="4"/>
  <c r="R129" i="4"/>
  <c r="U129" i="4" s="1"/>
  <c r="N125" i="4"/>
  <c r="K125" i="4" s="1"/>
  <c r="K126" i="4"/>
  <c r="G68" i="4"/>
  <c r="G70" i="4" s="1"/>
  <c r="E102" i="4"/>
  <c r="D68" i="4"/>
  <c r="F70" i="4"/>
  <c r="F126" i="4" l="1"/>
  <c r="J126" i="4"/>
  <c r="E126" i="4"/>
  <c r="L135" i="4" s="1"/>
  <c r="W126" i="4"/>
  <c r="X126" i="4" s="1"/>
  <c r="G126" i="4" s="1"/>
  <c r="K132" i="4"/>
  <c r="M132" i="4" s="1"/>
  <c r="I84" i="4"/>
  <c r="M135" i="4"/>
  <c r="E105" i="4"/>
  <c r="D102" i="4" s="1"/>
  <c r="C102" i="4"/>
  <c r="F125" i="4"/>
  <c r="J125" i="4"/>
  <c r="E125" i="4"/>
  <c r="K135" i="4" s="1"/>
  <c r="W125" i="4"/>
  <c r="X125" i="4" s="1"/>
  <c r="G125" i="4" s="1"/>
  <c r="F128" i="4"/>
  <c r="J128" i="4"/>
  <c r="E128" i="4"/>
  <c r="N135" i="4" s="1"/>
  <c r="W128" i="4"/>
  <c r="X128" i="4" s="1"/>
  <c r="G128" i="4" s="1"/>
  <c r="H63" i="4"/>
  <c r="H52" i="4"/>
  <c r="H56" i="4"/>
  <c r="I59" i="4"/>
  <c r="I67" i="4" s="1"/>
  <c r="D70" i="4"/>
  <c r="J55" i="4" s="1"/>
  <c r="H60" i="4"/>
  <c r="H61" i="4"/>
  <c r="H58" i="4"/>
  <c r="H70" i="4"/>
  <c r="F78" i="4"/>
  <c r="F88" i="4"/>
  <c r="D88" i="4" s="1"/>
  <c r="H59" i="4"/>
  <c r="H54" i="4"/>
  <c r="I57" i="4"/>
  <c r="F72" i="4"/>
  <c r="H57" i="4"/>
  <c r="H55" i="4"/>
  <c r="H53" i="4"/>
  <c r="H62" i="4"/>
  <c r="H64" i="4"/>
  <c r="H68" i="4"/>
  <c r="J129" i="4"/>
  <c r="F129" i="4"/>
  <c r="E129" i="4"/>
  <c r="O135" i="4" s="1"/>
  <c r="F81" i="4" l="1"/>
  <c r="D78" i="4"/>
  <c r="C39" i="17"/>
  <c r="C22" i="14"/>
  <c r="C26" i="14" s="1"/>
  <c r="G72" i="4"/>
  <c r="D72" i="4"/>
  <c r="I76" i="4"/>
  <c r="F74" i="4" s="1"/>
  <c r="I24" i="4"/>
  <c r="C46" i="17"/>
  <c r="D100" i="4"/>
  <c r="D97" i="4"/>
  <c r="D99" i="4"/>
  <c r="C105" i="4"/>
  <c r="C107" i="4" s="1"/>
  <c r="C42" i="17" s="1"/>
  <c r="D101" i="4"/>
  <c r="D92" i="4"/>
  <c r="D30" i="17" s="1"/>
  <c r="D105" i="4"/>
  <c r="D96" i="4"/>
  <c r="D95" i="4"/>
  <c r="D98" i="4"/>
  <c r="D93" i="4"/>
  <c r="D31" i="17" s="1"/>
  <c r="D103" i="4"/>
  <c r="I4" i="4" l="1"/>
  <c r="C48" i="17"/>
  <c r="D32" i="14"/>
  <c r="D17" i="14"/>
  <c r="D23" i="14"/>
  <c r="D22" i="14"/>
  <c r="D18" i="14"/>
  <c r="D21" i="14"/>
  <c r="C30" i="14"/>
  <c r="D19" i="14"/>
  <c r="D20" i="14"/>
  <c r="C40" i="17"/>
  <c r="D39" i="17" s="1"/>
  <c r="D81" i="4"/>
  <c r="F84" i="4"/>
  <c r="D84" i="4" s="1"/>
  <c r="J84" i="4" s="1"/>
  <c r="D35" i="17" l="1"/>
  <c r="D34" i="17"/>
  <c r="D33" i="17"/>
  <c r="D40" i="17"/>
  <c r="D37" i="17"/>
  <c r="D36" i="17"/>
  <c r="D38" i="17"/>
</calcChain>
</file>

<file path=xl/sharedStrings.xml><?xml version="1.0" encoding="utf-8"?>
<sst xmlns="http://schemas.openxmlformats.org/spreadsheetml/2006/main" count="933" uniqueCount="530">
  <si>
    <t xml:space="preserve">Calving Date </t>
  </si>
  <si>
    <t>$/Head</t>
  </si>
  <si>
    <t xml:space="preserve">Days After Breeding Season Delivered </t>
  </si>
  <si>
    <t>Credit for Cull Sales Per Bred Heifer</t>
  </si>
  <si>
    <t>Death Loss %</t>
  </si>
  <si>
    <t xml:space="preserve">  $/Month</t>
  </si>
  <si>
    <t>%</t>
  </si>
  <si>
    <t>Total Net Costs of Bred Heifer</t>
  </si>
  <si>
    <t>at delivered cost</t>
  </si>
  <si>
    <t xml:space="preserve">Cost of </t>
  </si>
  <si>
    <t>Total Gain</t>
  </si>
  <si>
    <t>Pounds</t>
  </si>
  <si>
    <t>Gain $/lb.</t>
  </si>
  <si>
    <t xml:space="preserve">Net margin over total cost </t>
  </si>
  <si>
    <t>Breeding, Pregnancy Testing % of Total Cost</t>
  </si>
  <si>
    <t>Breeding Total</t>
  </si>
  <si>
    <t>Weight</t>
  </si>
  <si>
    <t>Value $/Cwt</t>
  </si>
  <si>
    <t>Percent</t>
  </si>
  <si>
    <t>Per Breeding Culling Date and Percent</t>
  </si>
  <si>
    <t>Pre Breeding Culled Heifer</t>
  </si>
  <si>
    <t>Head</t>
  </si>
  <si>
    <t>Number of Heifers Exposed</t>
  </si>
  <si>
    <t>Head Culled</t>
  </si>
  <si>
    <t>Total Value</t>
  </si>
  <si>
    <t>Head Days</t>
  </si>
  <si>
    <t>Beginning to pre breeding culling</t>
  </si>
  <si>
    <t>Pre breeding culling through breeding and delivery</t>
  </si>
  <si>
    <t>Days</t>
  </si>
  <si>
    <t>Percent Pregnant and Net for Sale</t>
  </si>
  <si>
    <t>Culled Open Heifer Sale</t>
  </si>
  <si>
    <t>Operating Cost</t>
  </si>
  <si>
    <t>Feed and Grazing</t>
  </si>
  <si>
    <t xml:space="preserve">Other Cost </t>
  </si>
  <si>
    <t>Annual Interest on (1/2) of Operating Cost</t>
  </si>
  <si>
    <t>Annual Operating Cost</t>
  </si>
  <si>
    <t>Ownership Costs</t>
  </si>
  <si>
    <t>Depreciation</t>
  </si>
  <si>
    <t>Average Annual Interest Cost*</t>
  </si>
  <si>
    <t>Annual Ownership Cost</t>
  </si>
  <si>
    <t>Wt. Lb./Hd.</t>
  </si>
  <si>
    <t>$/Cwt.</t>
  </si>
  <si>
    <t xml:space="preserve">  $/Head</t>
  </si>
  <si>
    <t xml:space="preserve">Bull Salvage Value </t>
  </si>
  <si>
    <t>Interest Rate Used</t>
  </si>
  <si>
    <t>*Average investment is cost plus salvage value divided by 2. or</t>
  </si>
  <si>
    <t>Sales Weight</t>
  </si>
  <si>
    <t>Starting Weight</t>
  </si>
  <si>
    <t>Net Gain</t>
  </si>
  <si>
    <t>ADG</t>
  </si>
  <si>
    <t>Annual Herd Bull Cost Calculator</t>
  </si>
  <si>
    <t>Gross Income</t>
  </si>
  <si>
    <t>Revenue</t>
  </si>
  <si>
    <t>$/Head Bred Heifer</t>
  </si>
  <si>
    <t>Total Cost</t>
  </si>
  <si>
    <t>Net Income per head</t>
  </si>
  <si>
    <r>
      <t xml:space="preserve">Bred Heifer Sales Price </t>
    </r>
    <r>
      <rPr>
        <sz val="10"/>
        <rFont val="Arial"/>
        <family val="2"/>
      </rPr>
      <t>(Gross price before delivery cost)</t>
    </r>
  </si>
  <si>
    <t>Delivery Date of Bred Heifers</t>
  </si>
  <si>
    <t>Weaning Age</t>
  </si>
  <si>
    <t>Breeding Age</t>
  </si>
  <si>
    <t>Calving Age</t>
  </si>
  <si>
    <t>Delivery Age</t>
  </si>
  <si>
    <t>Months old at delivery</t>
  </si>
  <si>
    <t>Months old at calving</t>
  </si>
  <si>
    <t>Months old at breeding</t>
  </si>
  <si>
    <t>Starting Date for Weaned Heifer Calf</t>
  </si>
  <si>
    <t xml:space="preserve">Breeding Date </t>
  </si>
  <si>
    <r>
      <t xml:space="preserve">Total Costs of All Heifers </t>
    </r>
    <r>
      <rPr>
        <b/>
        <sz val="10"/>
        <rFont val="Arial"/>
        <family val="2"/>
      </rPr>
      <t>(Heifer &amp; Production)</t>
    </r>
  </si>
  <si>
    <t xml:space="preserve">Total Grazing and Feeding Cost </t>
  </si>
  <si>
    <t>Delivery Weight of Bred Heifers</t>
  </si>
  <si>
    <t>Length of Breeding Season - Days</t>
  </si>
  <si>
    <t xml:space="preserve">            Head</t>
  </si>
  <si>
    <t>Description of the Production System</t>
  </si>
  <si>
    <t>Weaned or Purchased Heifer</t>
  </si>
  <si>
    <t>Heifer</t>
  </si>
  <si>
    <t>Description of Protocol</t>
  </si>
  <si>
    <t>Breeding Method</t>
  </si>
  <si>
    <t>Natural</t>
  </si>
  <si>
    <t>AI First</t>
  </si>
  <si>
    <t xml:space="preserve">Natural </t>
  </si>
  <si>
    <t>Total</t>
  </si>
  <si>
    <t>Bull</t>
  </si>
  <si>
    <t>Pregnancy</t>
  </si>
  <si>
    <t>-</t>
  </si>
  <si>
    <t>Number of Head</t>
  </si>
  <si>
    <t xml:space="preserve">No. of </t>
  </si>
  <si>
    <t>Units</t>
  </si>
  <si>
    <t>$/Unit</t>
  </si>
  <si>
    <t>Female</t>
  </si>
  <si>
    <t>of Total</t>
  </si>
  <si>
    <t>Herd</t>
  </si>
  <si>
    <t>Pregnancy Test</t>
  </si>
  <si>
    <t>Other</t>
  </si>
  <si>
    <t>Semen Cost</t>
  </si>
  <si>
    <t>Straw</t>
  </si>
  <si>
    <t>Exposed</t>
  </si>
  <si>
    <t>`</t>
  </si>
  <si>
    <t xml:space="preserve">        Head</t>
  </si>
  <si>
    <t>Death Loss-% Purchase cost</t>
  </si>
  <si>
    <t>ROI</t>
  </si>
  <si>
    <t xml:space="preserve">  Interest </t>
  </si>
  <si>
    <t xml:space="preserve">Total </t>
  </si>
  <si>
    <t xml:space="preserve">  Credit for Cull Sales</t>
  </si>
  <si>
    <t xml:space="preserve">Total non breeding </t>
  </si>
  <si>
    <t xml:space="preserve">Per Head </t>
  </si>
  <si>
    <t>Marketed</t>
  </si>
  <si>
    <t>Percent of</t>
  </si>
  <si>
    <t>Total Costs</t>
  </si>
  <si>
    <t xml:space="preserve">  Feed &amp; Grazing </t>
  </si>
  <si>
    <t xml:space="preserve">  Total Cost Adjusted for Culls*</t>
  </si>
  <si>
    <t xml:space="preserve">  Process &amp; Health</t>
  </si>
  <si>
    <t>Over all Pregnancy</t>
  </si>
  <si>
    <t xml:space="preserve">Direct Production Cost </t>
  </si>
  <si>
    <t>Financing</t>
  </si>
  <si>
    <t>Total Financing</t>
  </si>
  <si>
    <t>Total Direct Costs</t>
  </si>
  <si>
    <t xml:space="preserve"> Culled Heifers - Before Breeding </t>
  </si>
  <si>
    <t xml:space="preserve"> Culled Open Heifers </t>
  </si>
  <si>
    <t>$/Head In</t>
  </si>
  <si>
    <t xml:space="preserve">Grazing and Feeding Cost </t>
  </si>
  <si>
    <t>Summary Analysis</t>
  </si>
  <si>
    <t xml:space="preserve"> Bred Heifers Delivery Cost</t>
  </si>
  <si>
    <t>Total Revenue - Net of Delivery Cost</t>
  </si>
  <si>
    <t xml:space="preserve">  Breeding System</t>
  </si>
  <si>
    <t>Summary of Cost Per Bred Heifer</t>
  </si>
  <si>
    <t xml:space="preserve">  Cost per Day</t>
  </si>
  <si>
    <t>Stand alone natural service cost per breeding cow.</t>
  </si>
  <si>
    <t>Total capital Required</t>
  </si>
  <si>
    <t>Interest Rate</t>
  </si>
  <si>
    <t xml:space="preserve">      Head</t>
  </si>
  <si>
    <t>Approximate Birth Date</t>
  </si>
  <si>
    <t>GnRH</t>
  </si>
  <si>
    <t>Culled at Preg. Testing</t>
  </si>
  <si>
    <t>Culled</t>
  </si>
  <si>
    <t>Annualized Return on Investment ROI</t>
  </si>
  <si>
    <t xml:space="preserve">Initial Processing </t>
  </si>
  <si>
    <t xml:space="preserve">  Initial Heifer Cost</t>
  </si>
  <si>
    <t>Number of Head Exposed</t>
  </si>
  <si>
    <t>Net Average Price of Bred Heifers</t>
  </si>
  <si>
    <t xml:space="preserve">  Other</t>
  </si>
  <si>
    <t>_______________________________</t>
  </si>
  <si>
    <t xml:space="preserve">  Adjusted Heifer Initial Cost*</t>
  </si>
  <si>
    <t xml:space="preserve">  *Initial Heifer Cost Minus Salvage Value of Culls.</t>
  </si>
  <si>
    <t>Annualized  Return on Investment (ROI)**</t>
  </si>
  <si>
    <t>**ROI is calculated by adding interest plus income divided annualized investment.</t>
  </si>
  <si>
    <t>Calculated Number of Pregnancies by Sex</t>
  </si>
  <si>
    <t xml:space="preserve">**Interest is not charged on operating or investment cost as it is included in the cost summary. </t>
  </si>
  <si>
    <t>Net Income (loss) per Bred Heifers ($/Hd.)</t>
  </si>
  <si>
    <t>Net Income (loss) Per Bred Heifer</t>
  </si>
  <si>
    <t>Total interest cost</t>
  </si>
  <si>
    <t>Bull Natural Service Interest</t>
  </si>
  <si>
    <t>Over all Pregnancy - Natural Service</t>
  </si>
  <si>
    <t>AI Price Difference per Head of Bred Heifers</t>
  </si>
  <si>
    <t>Enter 1 if using Conventional  AI, 2 if Natural Service for Breeding</t>
  </si>
  <si>
    <t>Number of bulls entered in sheet 3 Conventional  Breeding Cost</t>
  </si>
  <si>
    <t xml:space="preserve">Conventional AI  Pregnancy Rate </t>
  </si>
  <si>
    <t>Conventional AI</t>
  </si>
  <si>
    <t>Interest Cost</t>
  </si>
  <si>
    <t>% of Adj. Cost*</t>
  </si>
  <si>
    <t>AI</t>
  </si>
  <si>
    <t>$/Hd. Exposed</t>
  </si>
  <si>
    <t xml:space="preserve">Per Breeding Culling Date </t>
  </si>
  <si>
    <t xml:space="preserve"> Weaning Through Breeding and Sale</t>
  </si>
  <si>
    <t>Age at first culling</t>
  </si>
  <si>
    <t>Age breeding</t>
  </si>
  <si>
    <t>Age at delivery</t>
  </si>
  <si>
    <t>Age at calving</t>
  </si>
  <si>
    <t xml:space="preserve">     Months</t>
  </si>
  <si>
    <t xml:space="preserve">  Breeding System </t>
  </si>
  <si>
    <t>Breeding System</t>
  </si>
  <si>
    <t>Per Exposed</t>
  </si>
  <si>
    <t>Bred Heifers</t>
  </si>
  <si>
    <t>Version</t>
  </si>
  <si>
    <t>Times Run Trough the Cute</t>
  </si>
  <si>
    <t>Added Labor for Chute Work</t>
  </si>
  <si>
    <t xml:space="preserve">   Head</t>
  </si>
  <si>
    <t xml:space="preserve">   % of TUC</t>
  </si>
  <si>
    <r>
      <t xml:space="preserve">Bred Heifer Sales Price </t>
    </r>
    <r>
      <rPr>
        <b/>
        <sz val="11"/>
        <rFont val="Arial"/>
        <family val="2"/>
      </rPr>
      <t>(Natural &amp; Bred AI)</t>
    </r>
  </si>
  <si>
    <t>Interest Rate %  &amp; Cost of (return to) Capital</t>
  </si>
  <si>
    <t>Indirect Costs</t>
  </si>
  <si>
    <t>Total Indirect Costs</t>
  </si>
  <si>
    <t>Total Costs for all Heifers (TUC)</t>
  </si>
  <si>
    <r>
      <t>Net Cost of</t>
    </r>
    <r>
      <rPr>
        <b/>
        <sz val="11"/>
        <rFont val="Arial"/>
        <family val="2"/>
      </rPr>
      <t xml:space="preserve"> Bred Replacement  Heifer</t>
    </r>
    <r>
      <rPr>
        <b/>
        <sz val="12"/>
        <rFont val="Arial"/>
        <family val="2"/>
      </rPr>
      <t xml:space="preserve"> (TUC)</t>
    </r>
  </si>
  <si>
    <r>
      <t xml:space="preserve">Total Bred Heifer Cost </t>
    </r>
    <r>
      <rPr>
        <b/>
        <sz val="11"/>
        <rFont val="Arial"/>
        <family val="2"/>
      </rPr>
      <t>(Adjusted for Culls) TUC</t>
    </r>
  </si>
  <si>
    <t xml:space="preserve">  Indirect Cost</t>
  </si>
  <si>
    <t xml:space="preserve"> Total Indirect Costs</t>
  </si>
  <si>
    <t>% of Total</t>
  </si>
  <si>
    <t>Weaned or Purchased Heifer - Head</t>
  </si>
  <si>
    <t>Per Head</t>
  </si>
  <si>
    <t>Annualized  Return on Investment (ROI)</t>
  </si>
  <si>
    <t xml:space="preserve">  Finance</t>
  </si>
  <si>
    <t xml:space="preserve">  Other Direct Costs</t>
  </si>
  <si>
    <t>Culled Open Heifer Date</t>
  </si>
  <si>
    <t>Freight $/Hd.</t>
  </si>
  <si>
    <t>Total $/Cwt. &gt;</t>
  </si>
  <si>
    <t>Weaned or Purchased Heifer - Weight</t>
  </si>
  <si>
    <t>Non Cattle Cost per Day</t>
  </si>
  <si>
    <t xml:space="preserve">Artificial Inseminated (AI) Bred Replacement Heifer Production Cost and ROI </t>
  </si>
  <si>
    <t xml:space="preserve">Value of </t>
  </si>
  <si>
    <t xml:space="preserve">Culled Open </t>
  </si>
  <si>
    <r>
      <t xml:space="preserve">Cost of </t>
    </r>
    <r>
      <rPr>
        <b/>
        <sz val="8"/>
        <rFont val="Arial"/>
        <family val="2"/>
      </rPr>
      <t>not</t>
    </r>
    <r>
      <rPr>
        <sz val="8"/>
        <rFont val="Arial"/>
        <family val="2"/>
      </rPr>
      <t xml:space="preserve"> Getting</t>
    </r>
  </si>
  <si>
    <t>Notes</t>
  </si>
  <si>
    <t>Age when sold</t>
  </si>
  <si>
    <t>Date at End of Breeding Season</t>
  </si>
  <si>
    <t>Summary Report on Replacement Heifers Budget</t>
  </si>
  <si>
    <t>Other Indirect Costs Based on  Hd. In</t>
  </si>
  <si>
    <t>Net Income (loss) for All Heifers In</t>
  </si>
  <si>
    <t>Pregnancy Percent - AI</t>
  </si>
  <si>
    <t>Pregnancy Percent - Overall</t>
  </si>
  <si>
    <t>Days Owned - Start to Bred Delivery</t>
  </si>
  <si>
    <t xml:space="preserve">Total Start to Bred Delivery </t>
  </si>
  <si>
    <t>Capital Required Non Cattle Direct + Indirect cost</t>
  </si>
  <si>
    <t>Cattle Interest</t>
  </si>
  <si>
    <t>Cattle Capital</t>
  </si>
  <si>
    <t>Interest</t>
  </si>
  <si>
    <t>Bred Heifer</t>
  </si>
  <si>
    <t>Head In</t>
  </si>
  <si>
    <t>Includes Marketing Cost</t>
  </si>
  <si>
    <t>____________________________________________________________________________________________________________</t>
  </si>
  <si>
    <t>Weaned or Purchased Heifer Cost and Necessary Heifer Price to Achieve a Target Net Income</t>
  </si>
  <si>
    <t>Cost of Heifers In</t>
  </si>
  <si>
    <t xml:space="preserve">   Cost per Cwt.</t>
  </si>
  <si>
    <t xml:space="preserve">Bull &amp; </t>
  </si>
  <si>
    <t>Operating</t>
  </si>
  <si>
    <t>Interest cost</t>
  </si>
  <si>
    <t>Interest $/Hd.</t>
  </si>
  <si>
    <t xml:space="preserve">    Cost/Head</t>
  </si>
  <si>
    <t>Cost in</t>
  </si>
  <si>
    <t>Price Out</t>
  </si>
  <si>
    <t>Sales of Bred Heifers - Head</t>
  </si>
  <si>
    <t>Cull Sales Adjustment in Cost</t>
  </si>
  <si>
    <r>
      <t xml:space="preserve">Production Cost </t>
    </r>
    <r>
      <rPr>
        <sz val="11"/>
        <rFont val="Arial"/>
        <family val="2"/>
      </rPr>
      <t>(non-cattle or finance)</t>
    </r>
  </si>
  <si>
    <t>Cost of Heifer Calf Interval of Change</t>
  </si>
  <si>
    <t>Necessary</t>
  </si>
  <si>
    <t>Cattle</t>
  </si>
  <si>
    <t>Adjusted</t>
  </si>
  <si>
    <t>Days Adjusted</t>
  </si>
  <si>
    <t>Investment</t>
  </si>
  <si>
    <t>Per Cow&amp; Total</t>
  </si>
  <si>
    <t>**ROI is calculated by adding interest plus income divided annualized invest.</t>
  </si>
  <si>
    <t>Added in bulls M68</t>
  </si>
  <si>
    <t>Interest cost per cow Exposed</t>
  </si>
  <si>
    <t>Check Interest</t>
  </si>
  <si>
    <t xml:space="preserve">Weaned </t>
  </si>
  <si>
    <t xml:space="preserve">Percent of  </t>
  </si>
  <si>
    <t>Production</t>
  </si>
  <si>
    <r>
      <t xml:space="preserve">Total Natural Service Breeding Non Interest Cost </t>
    </r>
    <r>
      <rPr>
        <sz val="10"/>
        <rFont val="Arial"/>
        <family val="2"/>
      </rPr>
      <t>(see bull sheet)</t>
    </r>
  </si>
  <si>
    <t>Bull Invest.</t>
  </si>
  <si>
    <t>Costs Investment</t>
  </si>
  <si>
    <t>Delivery Cost Check</t>
  </si>
  <si>
    <t>Error Check</t>
  </si>
  <si>
    <t>Non Cattle Cost per Head Day</t>
  </si>
  <si>
    <t>Net $/Head</t>
  </si>
  <si>
    <t>Days Per Head Marketed bred or open</t>
  </si>
  <si>
    <t xml:space="preserve"> Target</t>
  </si>
  <si>
    <t>Bred Heifer Delivery Cost</t>
  </si>
  <si>
    <t>Net Price*</t>
  </si>
  <si>
    <t>Base Heifer Cost &amp; Necessary Price for Target*</t>
  </si>
  <si>
    <r>
      <t xml:space="preserve">Bred Heifer Net Income </t>
    </r>
    <r>
      <rPr>
        <b/>
        <sz val="12"/>
        <rFont val="Arial"/>
        <family val="2"/>
      </rPr>
      <t xml:space="preserve">Target </t>
    </r>
    <r>
      <rPr>
        <sz val="12"/>
        <rFont val="Arial"/>
        <family val="2"/>
      </rPr>
      <t>$/Head</t>
    </r>
  </si>
  <si>
    <t>Average Daily Gain - Lb./Day</t>
  </si>
  <si>
    <t>% of TUC</t>
  </si>
  <si>
    <r>
      <t>Direct Expenses</t>
    </r>
    <r>
      <rPr>
        <sz val="11"/>
        <rFont val="Times New Roman"/>
        <family val="1"/>
      </rPr>
      <t xml:space="preserve"> are expense items that are directly related to production activity such as grazing, feed, seed, fertilizer, land rent, health, breeding and replacement heifer costs. These expenses increase as the number of replacement heifers increase.</t>
    </r>
  </si>
  <si>
    <r>
      <t xml:space="preserve">Indirect Costs </t>
    </r>
    <r>
      <rPr>
        <sz val="11"/>
        <rFont val="Times New Roman"/>
        <family val="1"/>
      </rPr>
      <t>are</t>
    </r>
    <r>
      <rPr>
        <b/>
        <sz val="11"/>
        <rFont val="Times New Roman"/>
        <family val="1"/>
      </rPr>
      <t xml:space="preserve"> </t>
    </r>
    <r>
      <rPr>
        <sz val="11"/>
        <rFont val="Times New Roman"/>
        <family val="1"/>
      </rPr>
      <t>the costs that don’t change as the number of cattle increase. Depreciation, repair, maintenance, of the vehicles, machinery and equipment, labor and management, utilities, property tax are examples of indirect costs</t>
    </r>
    <r>
      <rPr>
        <b/>
        <sz val="11"/>
        <rFont val="Times New Roman"/>
        <family val="1"/>
      </rPr>
      <t>. General and administrative costs</t>
    </r>
    <r>
      <rPr>
        <sz val="11"/>
        <rFont val="Times New Roman"/>
        <family val="1"/>
      </rPr>
      <t xml:space="preserve"> are indirect cost that all business incurs to cover book keeping, professional fees, insurance, office supplies, computer services, phone and other utilities cost. Administrative cost includes the salary and payroll for hired or owner management. There is management time spent on planning, implementation and marketing issues for the replacement heifers.</t>
    </r>
  </si>
  <si>
    <t>Definitions</t>
  </si>
  <si>
    <t xml:space="preserve">  $/Bred Heif.</t>
  </si>
  <si>
    <t xml:space="preserve">   Revenue</t>
  </si>
  <si>
    <t>Total Unit Cost</t>
  </si>
  <si>
    <t>Total Pregnancies</t>
  </si>
  <si>
    <t>Enter Average Weight per Head</t>
  </si>
  <si>
    <t xml:space="preserve">   Weaned or Purchased Heifer $/Cwt.</t>
  </si>
  <si>
    <t xml:space="preserve">   Weaned or Purchased Heifer $/Head</t>
  </si>
  <si>
    <t xml:space="preserve"> &lt;--Total Months Fed and Grazed</t>
  </si>
  <si>
    <t>*Average price of AI and natural bred heifers. Minimal ROI is the interest rate used.</t>
  </si>
  <si>
    <t>Target ROI*</t>
  </si>
  <si>
    <t>Check Target</t>
  </si>
  <si>
    <t>Input Average Bred Heifer Price</t>
  </si>
  <si>
    <t>Check on Total Days</t>
  </si>
  <si>
    <t xml:space="preserve"> Indirect Cost - $/Head Day</t>
  </si>
  <si>
    <t>Includes Trick test</t>
  </si>
  <si>
    <t>Weaning Date of Calf</t>
  </si>
  <si>
    <t xml:space="preserve">    Net Target </t>
  </si>
  <si>
    <t xml:space="preserve">       Income</t>
  </si>
  <si>
    <t>Replacement Heifer Cost Definitions</t>
  </si>
  <si>
    <t>Bulls Required</t>
  </si>
  <si>
    <t>Heifer Exposed - Head</t>
  </si>
  <si>
    <t>Cannot have a fraction of a bull.</t>
  </si>
  <si>
    <t>_________________________________________________________________________________________________</t>
  </si>
  <si>
    <t>Head Required</t>
  </si>
  <si>
    <t>Per Bull</t>
  </si>
  <si>
    <t xml:space="preserve">   Total Cost</t>
  </si>
  <si>
    <t>Total for Bulls Required &amp; Costs</t>
  </si>
  <si>
    <t>Non Interest</t>
  </si>
  <si>
    <t>Exposed Females</t>
  </si>
  <si>
    <t>Average</t>
  </si>
  <si>
    <t>For Bulls Used</t>
  </si>
  <si>
    <t>Total Bull Investment</t>
  </si>
  <si>
    <t xml:space="preserve">Total Days and Months Fed and Grazed </t>
  </si>
  <si>
    <t>Heifers/Bull</t>
  </si>
  <si>
    <t>Non-Interest</t>
  </si>
  <si>
    <t>Summary or Replacement Heifer Natural Service Bred</t>
  </si>
  <si>
    <t>Exposed heifers per bull</t>
  </si>
  <si>
    <t xml:space="preserve">Per Exposed </t>
  </si>
  <si>
    <t>Exposed Heif.</t>
  </si>
  <si>
    <t xml:space="preserve">           Bulls</t>
  </si>
  <si>
    <t>Bulls Cost</t>
  </si>
  <si>
    <t>Cost</t>
  </si>
  <si>
    <t>Average Investment and Total</t>
  </si>
  <si>
    <t xml:space="preserve">AI Bull Interest </t>
  </si>
  <si>
    <t>Choice---&gt;</t>
  </si>
  <si>
    <t>Interest Cost of Bulls</t>
  </si>
  <si>
    <t>Head of Bulls Required</t>
  </si>
  <si>
    <t>Non-Interest Cost</t>
  </si>
  <si>
    <t>Total Breeding System Cost</t>
  </si>
  <si>
    <t xml:space="preserve">  Breeding System Non-Interest</t>
  </si>
  <si>
    <t>Preconditioning</t>
  </si>
  <si>
    <t>Feeding and Grazing</t>
  </si>
  <si>
    <t>All between start and finishing date.</t>
  </si>
  <si>
    <t>Non-Interest Bull Cost and Cost Per Head**</t>
  </si>
  <si>
    <t>Bull Purchase Cost including Freight</t>
  </si>
  <si>
    <t>Useful Life - Years</t>
  </si>
  <si>
    <t>Heifer per Head Service Cost</t>
  </si>
  <si>
    <t>Summary or Replacement Heifer AI Breeding Performance Costs and Net Margin</t>
  </si>
  <si>
    <t>Heifers per bull</t>
  </si>
  <si>
    <t>Overall Preg. %</t>
  </si>
  <si>
    <t>Bull interest</t>
  </si>
  <si>
    <t xml:space="preserve">     Average</t>
  </si>
  <si>
    <t>a Heifer Bred</t>
  </si>
  <si>
    <t>Other non-Breeding System</t>
  </si>
  <si>
    <t>Number of Head Exposed - Head</t>
  </si>
  <si>
    <t>Pre-Breeding Evaluation &amp; Selection</t>
  </si>
  <si>
    <t xml:space="preserve">          AI</t>
  </si>
  <si>
    <r>
      <rPr>
        <b/>
        <sz val="12"/>
        <color theme="1"/>
        <rFont val="Arial"/>
        <family val="2"/>
      </rPr>
      <t>Indirect Costs</t>
    </r>
    <r>
      <rPr>
        <sz val="12"/>
        <rFont val="Arial"/>
        <family val="2"/>
      </rPr>
      <t xml:space="preserve"> are the costs that don’t change as the number of cattle increase. Depreciation, repair, maintenance, of the vehicles, machinery and equipment, labor and management, utilities, property tax are examples of indirect costs. </t>
    </r>
    <r>
      <rPr>
        <b/>
        <sz val="12"/>
        <color theme="1"/>
        <rFont val="Arial"/>
        <family val="2"/>
      </rPr>
      <t>General and administrative costs</t>
    </r>
    <r>
      <rPr>
        <sz val="12"/>
        <rFont val="Arial"/>
        <family val="2"/>
      </rPr>
      <t xml:space="preserve"> are indirect cost that all business incurs to cover book keeping, professional fees, insurance, office supplies, computer services, phone and other utilities cost. Administrative cost includes the salary and payroll for hired or owner management. There is management time spent on planning, implementation and marketing issues for the replacement heifers.</t>
    </r>
  </si>
  <si>
    <r>
      <t xml:space="preserve">Total Unit Cost of Production (TUC) is a sum of </t>
    </r>
    <r>
      <rPr>
        <sz val="12"/>
        <rFont val="Arial"/>
        <family val="2"/>
      </rPr>
      <t xml:space="preserve">direct costs, indirect including the businesses general and administrative (G&amp;A) and finance costs. Having </t>
    </r>
    <r>
      <rPr>
        <b/>
        <sz val="12"/>
        <color theme="1"/>
        <rFont val="Arial"/>
        <family val="2"/>
      </rPr>
      <t>total unit cost</t>
    </r>
    <r>
      <rPr>
        <sz val="12"/>
        <rFont val="Arial"/>
        <family val="2"/>
      </rPr>
      <t xml:space="preserve"> is necessary to have a true measure of profitability. Having G&amp;A and actual interest cost will mean the replacement heifer profitability and TUC is consistent with the total business income statement or profit and loss (P&amp;L) statement.</t>
    </r>
  </si>
  <si>
    <r>
      <t xml:space="preserve">Annualized Net Return on Investment ROI </t>
    </r>
    <r>
      <rPr>
        <sz val="12"/>
        <rFont val="Arial"/>
        <family val="2"/>
      </rPr>
      <t>is the annualized return on investment is the net income plus interest cost divided by annualized capital investment requirement to support the enterprise.  The reason interest is added back is interest paid represents a return the debt capital. ROI is a return to capital invested irrespective of capital ownership. Capital is adjusted for the time cattle are grazed or fed. Investment required is estimated by taking one half of the investment is non-cattle costs plus the total payweight cost of the cattle times days on feed divided by 365 days. ROI % = ((net income + Interest)/annualized Investment)*100</t>
    </r>
  </si>
  <si>
    <r>
      <rPr>
        <b/>
        <sz val="12"/>
        <color theme="1"/>
        <rFont val="Arial"/>
        <family val="2"/>
      </rPr>
      <t>Direct Expenses</t>
    </r>
    <r>
      <rPr>
        <sz val="12"/>
        <rFont val="Arial"/>
        <family val="2"/>
      </rPr>
      <t xml:space="preserve"> are expense items that are directly related to production activity such as grazing, feed, seed, fertilizer, land rent, health, breeding and replacement heifer costs. These expenses increase as the number of replacement heifers increase.</t>
    </r>
  </si>
  <si>
    <r>
      <rPr>
        <b/>
        <sz val="12"/>
        <rFont val="Arial"/>
        <family val="2"/>
      </rPr>
      <t xml:space="preserve">Owner Operator Labor and Management </t>
    </r>
    <r>
      <rPr>
        <sz val="12"/>
        <rFont val="Arial"/>
        <family val="2"/>
      </rPr>
      <t>compensation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Owner manager costs need to be included in production costs. Leaving it out implies the owner works for nothing.</t>
    </r>
  </si>
  <si>
    <t xml:space="preserve">  Hd. Bred</t>
  </si>
  <si>
    <t>Hd. Exposed</t>
  </si>
  <si>
    <t>Total Bull Average Investment</t>
  </si>
  <si>
    <t>Conventional AI  Herd Reproduction Rate Breeding by Synchronization System</t>
  </si>
  <si>
    <t>Heat Detection AI</t>
  </si>
  <si>
    <t>Synchronized AI With Heat Detection</t>
  </si>
  <si>
    <t>Expected Pregnancy from Conventional AI</t>
  </si>
  <si>
    <t xml:space="preserve"> AI </t>
  </si>
  <si>
    <t xml:space="preserve">Number of AI Heifers </t>
  </si>
  <si>
    <t>Pregnancy Percent*</t>
  </si>
  <si>
    <t>Gender</t>
  </si>
  <si>
    <t>Number of Pregnancies By Gender</t>
  </si>
  <si>
    <t xml:space="preserve">    Percent AI</t>
  </si>
  <si>
    <t xml:space="preserve">  Total Hd.</t>
  </si>
  <si>
    <t>Open Heifers</t>
  </si>
  <si>
    <t>Heifers Bred and Overall Pregnancy</t>
  </si>
  <si>
    <t>Breeding System Costs</t>
  </si>
  <si>
    <t>Pelvic Measure and Exam.</t>
  </si>
  <si>
    <t>CIDR</t>
  </si>
  <si>
    <t>Prostaglandin</t>
  </si>
  <si>
    <t>Bulls</t>
  </si>
  <si>
    <t>Estro Tech Patch</t>
  </si>
  <si>
    <t>Bull investment interest</t>
  </si>
  <si>
    <t>Times</t>
  </si>
  <si>
    <t>Added Labor for Heat Detections</t>
  </si>
  <si>
    <t>Breeding Fee AI Technician</t>
  </si>
  <si>
    <t>Total AI Exposed &amp; Breeding Cost</t>
  </si>
  <si>
    <t xml:space="preserve">Females/Bull </t>
  </si>
  <si>
    <t>Bulls Head</t>
  </si>
  <si>
    <t>Natural Service Clean Up Bull Cost</t>
  </si>
  <si>
    <t>Conventional AI &amp; Clean Up Bulls</t>
  </si>
  <si>
    <t>Cost per Exposed Heifer and Total Cost*</t>
  </si>
  <si>
    <t>Breeding System Cost Per Bred Female*</t>
  </si>
  <si>
    <t xml:space="preserve">*Does not include operating interest cost for breeding costs. </t>
  </si>
  <si>
    <t>__________________________________________________________________________________________________</t>
  </si>
  <si>
    <t>Conventional AI  Herd Breeding Cost - Timed AI</t>
  </si>
  <si>
    <t>Pregnancy Percent</t>
  </si>
  <si>
    <t>Interest Oper.</t>
  </si>
  <si>
    <t>Interest Inv..</t>
  </si>
  <si>
    <t>Breeding Cost if Using Conventional with Timed AI</t>
  </si>
  <si>
    <t>Bull Investment Interest</t>
  </si>
  <si>
    <t>Total Natural Service Breeding Cost</t>
  </si>
  <si>
    <t>Natural Service Bull Cost</t>
  </si>
  <si>
    <t>Interest on Bull Investment</t>
  </si>
  <si>
    <t>_____________________________________________________________________________________________________________________</t>
  </si>
  <si>
    <t xml:space="preserve">       Bulls</t>
  </si>
  <si>
    <t xml:space="preserve">        Heifers</t>
  </si>
  <si>
    <t>In Operating Cost Interest Cost Calculation</t>
  </si>
  <si>
    <t>Total Bull</t>
  </si>
  <si>
    <t xml:space="preserve">     Average Investment</t>
  </si>
  <si>
    <t xml:space="preserve">Exposed </t>
  </si>
  <si>
    <t xml:space="preserve">    Heifer</t>
  </si>
  <si>
    <t xml:space="preserve">     Per Bred </t>
  </si>
  <si>
    <t>Total Bull Breeding Cost*</t>
  </si>
  <si>
    <t>Synchronization Used - Heat Detection =1 or Timed AI=2</t>
  </si>
  <si>
    <t>Other Costs Based on Heifers Exposed</t>
  </si>
  <si>
    <t>Bull interest on operating cost  per female exposed.</t>
  </si>
  <si>
    <t>Clean Up</t>
  </si>
  <si>
    <t>Heifers Per Bull and Bulls Used</t>
  </si>
  <si>
    <t>Heifers</t>
  </si>
  <si>
    <t>Days between starting and delivery</t>
  </si>
  <si>
    <t xml:space="preserve"> From AI Bred Heifer System</t>
  </si>
  <si>
    <t>Revenue Difference Between Exposed Open &amp; Bred</t>
  </si>
  <si>
    <t xml:space="preserve">    % of Adj. Cost*</t>
  </si>
  <si>
    <t xml:space="preserve">  Bull Finance</t>
  </si>
  <si>
    <t>Raised Angus heifers bred to low birth weight bulls</t>
  </si>
  <si>
    <t>For Bulls</t>
  </si>
  <si>
    <t>Per Exposed Heif.</t>
  </si>
  <si>
    <t>Per Bred Heif.</t>
  </si>
  <si>
    <t>Non Interest Operating Cost</t>
  </si>
  <si>
    <t>Interest Operating Costs</t>
  </si>
  <si>
    <t xml:space="preserve">Bull Investment Interest </t>
  </si>
  <si>
    <t xml:space="preserve">     Bulls Cost</t>
  </si>
  <si>
    <t>*Average investment is cost plus salvage value divided by 2.</t>
  </si>
  <si>
    <t>Average Investment and Total*</t>
  </si>
  <si>
    <t>Conventional AI Clean Up Bull Investment and Costs</t>
  </si>
  <si>
    <t>Natural Service Herd Bull Investment and Costs</t>
  </si>
  <si>
    <t>_______________________________________________________________</t>
  </si>
  <si>
    <t>-----------------------------------------------------------------------------------------------------------------</t>
  </si>
  <si>
    <t>Bull Investment Data Used in Projections - See sheet 6.</t>
  </si>
  <si>
    <t>________________________________________</t>
  </si>
  <si>
    <t>AI Bred Heifer</t>
  </si>
  <si>
    <t xml:space="preserve"> From Natural Service Bred Heifer System</t>
  </si>
  <si>
    <t>Breeding Cost if Using Conventional AI with Heat Detection</t>
  </si>
  <si>
    <t>Timed</t>
  </si>
  <si>
    <t>Detected</t>
  </si>
  <si>
    <t xml:space="preserve"> AI Exposed &amp; AI Bred Heifers</t>
  </si>
  <si>
    <t>Natural Service AI Exposed</t>
  </si>
  <si>
    <t xml:space="preserve">         Total</t>
  </si>
  <si>
    <t>Natural Service</t>
  </si>
  <si>
    <t xml:space="preserve">     Total</t>
  </si>
  <si>
    <t xml:space="preserve"> Natural Service Exposed and Bred Heifers</t>
  </si>
  <si>
    <t>Summary Of Replacement Heifer Breeding Performance and Costs by Breeding System</t>
  </si>
  <si>
    <t>Replacement Heifer Breeding Performance by Breeding System</t>
  </si>
  <si>
    <t xml:space="preserve">Overall </t>
  </si>
  <si>
    <t>Heifers Exposed</t>
  </si>
  <si>
    <t>% AI</t>
  </si>
  <si>
    <t xml:space="preserve">  Heat Detection</t>
  </si>
  <si>
    <t xml:space="preserve">  Timed AI</t>
  </si>
  <si>
    <t>Breeding Costs for Replacement Heifers by Breeding System</t>
  </si>
  <si>
    <t xml:space="preserve">   Per Head of Heifers Exposed</t>
  </si>
  <si>
    <t xml:space="preserve">     Per Head of Heifers Bred</t>
  </si>
  <si>
    <t xml:space="preserve">Breeding </t>
  </si>
  <si>
    <t>Bull Cost</t>
  </si>
  <si>
    <t>Breeding Cost</t>
  </si>
  <si>
    <t>Gender Bred Heifer and Projected Market Value by Breeding System</t>
  </si>
  <si>
    <t>Calf Gender Bred</t>
  </si>
  <si>
    <t>Bred</t>
  </si>
  <si>
    <t xml:space="preserve">Bred </t>
  </si>
  <si>
    <t>Market Value</t>
  </si>
  <si>
    <t>For Bull</t>
  </si>
  <si>
    <t>For Heifer</t>
  </si>
  <si>
    <t xml:space="preserve">      Total</t>
  </si>
  <si>
    <t>Gross Revenue, Breeding Cost and Margin Over Breeding Costs by Breeding System</t>
  </si>
  <si>
    <t>Margin Over</t>
  </si>
  <si>
    <t>Cull Open Heifers</t>
  </si>
  <si>
    <t>Market</t>
  </si>
  <si>
    <t xml:space="preserve">Total Gross </t>
  </si>
  <si>
    <t>Breeding</t>
  </si>
  <si>
    <t>Value</t>
  </si>
  <si>
    <t>Income</t>
  </si>
  <si>
    <t>Cost*</t>
  </si>
  <si>
    <t>Bull Investment*</t>
  </si>
  <si>
    <t xml:space="preserve">  Natural Service</t>
  </si>
  <si>
    <t xml:space="preserve">Open Culls </t>
  </si>
  <si>
    <t>Open heifers</t>
  </si>
  <si>
    <t xml:space="preserve">Culls - Synchronization Used </t>
  </si>
  <si>
    <t xml:space="preserve"> Culled Open Heifers After AI</t>
  </si>
  <si>
    <t xml:space="preserve">     Head Open</t>
  </si>
  <si>
    <t>Over</t>
  </si>
  <si>
    <t>Base</t>
  </si>
  <si>
    <t>__________________________________________________________________________________________________________________________________________</t>
  </si>
  <si>
    <t>________________________________________________________</t>
  </si>
  <si>
    <t>______</t>
  </si>
  <si>
    <t xml:space="preserve">Overall Preg. </t>
  </si>
  <si>
    <t xml:space="preserve">         Head</t>
  </si>
  <si>
    <t>Bred Heifer Head for Sales Summary</t>
  </si>
  <si>
    <t xml:space="preserve">AI </t>
  </si>
  <si>
    <t xml:space="preserve">      $/Head In</t>
  </si>
  <si>
    <t>Conventional  (see sheet 4)</t>
  </si>
  <si>
    <t>Check delivery date</t>
  </si>
  <si>
    <t>Open Heifers per Bull</t>
  </si>
  <si>
    <t>AI Bred - %</t>
  </si>
  <si>
    <t>Calculated Required Bulls Based on Opens</t>
  </si>
  <si>
    <t>% Open</t>
  </si>
  <si>
    <t xml:space="preserve">Calculated assuming yearling and two year old bulls </t>
  </si>
  <si>
    <t>Total Bull Cost</t>
  </si>
  <si>
    <t>Per Head Annual
 Bull Costs</t>
  </si>
  <si>
    <t>Used yearling and two year old cleanup bulls on replacement heifers. Used 55% AI pregnant.</t>
  </si>
  <si>
    <t>Description of Replacement Heifer Production System</t>
  </si>
  <si>
    <t xml:space="preserve">      Heifers per bull - Hd.</t>
  </si>
  <si>
    <t>Heif. Per Bull</t>
  </si>
  <si>
    <t xml:space="preserve"> Per Bull Cost</t>
  </si>
  <si>
    <t>Total Cost Per Exposed Heifer</t>
  </si>
  <si>
    <t>Summary</t>
  </si>
  <si>
    <t>Cleanup</t>
  </si>
  <si>
    <t>Herd Bull Investment and Costs Summary</t>
  </si>
  <si>
    <t>Cleanup bulls for AI or natural service</t>
  </si>
  <si>
    <t>Veterinary Medicine - Adjust for Purchase Date</t>
  </si>
  <si>
    <t>Total Cost, Number of Bulls, Heifers &amp; Cost Per Bull</t>
  </si>
  <si>
    <t>Average/Hd. Investment For cows exposed</t>
  </si>
  <si>
    <t>Cleanup and Herd Bull Investment and Costs Summary</t>
  </si>
  <si>
    <t xml:space="preserve"> AI Cleanup Bull Investment and Costs</t>
  </si>
  <si>
    <t>Herd Bulls Used*</t>
  </si>
  <si>
    <t>Be sure and check bull numbers.</t>
  </si>
  <si>
    <t>Bulls Required - see sheet 7.</t>
  </si>
  <si>
    <t>No heat detection</t>
  </si>
  <si>
    <t>or transferred to herd</t>
  </si>
  <si>
    <t>Annual Cleanup Bulls Feeding and Grazing Costs</t>
  </si>
  <si>
    <t xml:space="preserve"> Cleanup Bulls Used Annually - Hd.</t>
  </si>
  <si>
    <t>Bulls used in 2 breeding seasons.</t>
  </si>
  <si>
    <t xml:space="preserve">Cost/Head </t>
  </si>
  <si>
    <t>Cost for</t>
  </si>
  <si>
    <t>Period Covered and Source</t>
  </si>
  <si>
    <t>Months/Hd.</t>
  </si>
  <si>
    <t>Per Month</t>
  </si>
  <si>
    <t>Period/Hd.</t>
  </si>
  <si>
    <t>Months</t>
  </si>
  <si>
    <t>Pre Breeding Months</t>
  </si>
  <si>
    <t>New Purchased Bulls</t>
  </si>
  <si>
    <t>Breeding Season</t>
  </si>
  <si>
    <t>Summer Grazing</t>
  </si>
  <si>
    <t>Wintering Bulls</t>
  </si>
  <si>
    <t xml:space="preserve">        Days</t>
  </si>
  <si>
    <t xml:space="preserve">              Head Utilized in Breeding Season</t>
  </si>
  <si>
    <t>Cost Per Day</t>
  </si>
  <si>
    <t>Total Grazing and Feeding Days and Cost</t>
  </si>
  <si>
    <t>Cull bulls in August after breeding and replace in February for breeding season.</t>
  </si>
  <si>
    <t>Feed and Grazing - See calculator below.</t>
  </si>
  <si>
    <t>Budget for 15 heifers on yearling cleanup bulls and 25 in two year old's or 20 open heifers per bull.</t>
  </si>
  <si>
    <t>Artificial Inseminated (AI) Bred Replacement Heifer Projection Budget</t>
  </si>
  <si>
    <t>below</t>
  </si>
  <si>
    <t>Cost per day for feeding and grazing.</t>
  </si>
  <si>
    <t xml:space="preserve"> AI Exposed &amp; Natural Bred Heifers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</si>
</sst>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quot;$&quot;#,##0.00"/>
    <numFmt numFmtId="165" formatCode="&quot;$&quot;#,##0"/>
    <numFmt numFmtId="166" formatCode="0_)"/>
    <numFmt numFmtId="167" formatCode="[$$-409]#,##0"/>
    <numFmt numFmtId="168" formatCode="[$$-409]#,##0.00"/>
    <numFmt numFmtId="169" formatCode="[$$-409]#,##0.00_);[Red]\([$$-409]#,##0.00\)"/>
    <numFmt numFmtId="170" formatCode="[$-409]d\-mmm\-yy;@"/>
    <numFmt numFmtId="171" formatCode="0.000"/>
    <numFmt numFmtId="172" formatCode="0.0"/>
    <numFmt numFmtId="173" formatCode="_(* #,##0_);_(* \(#,##0\);_(* &quot;-&quot;??_);_(@_)"/>
    <numFmt numFmtId="174" formatCode="0.0%"/>
    <numFmt numFmtId="175" formatCode="0.000%"/>
    <numFmt numFmtId="176" formatCode="mmmm\ d\,\ yyyy"/>
    <numFmt numFmtId="177" formatCode="0.0_);[Red]\(0.0\)"/>
    <numFmt numFmtId="178" formatCode="0_);\(0\)"/>
    <numFmt numFmtId="179" formatCode="#,##0.0"/>
    <numFmt numFmtId="180" formatCode="&quot;$&quot;#,##0.000_);[Red]\(&quot;$&quot;#,##0.000\)"/>
    <numFmt numFmtId="181" formatCode="mm/dd/yy;@"/>
  </numFmts>
  <fonts count="50" x14ac:knownFonts="1">
    <font>
      <sz val="10"/>
      <name val="Arial"/>
    </font>
    <font>
      <sz val="10"/>
      <name val="Arial"/>
      <family val="2"/>
    </font>
    <font>
      <b/>
      <sz val="10"/>
      <name val="Arial"/>
      <family val="2"/>
    </font>
    <font>
      <sz val="12"/>
      <name val="Arial"/>
      <family val="2"/>
    </font>
    <font>
      <b/>
      <sz val="12"/>
      <name val="Arial"/>
      <family val="2"/>
    </font>
    <font>
      <sz val="8"/>
      <name val="Arial"/>
      <family val="2"/>
    </font>
    <font>
      <sz val="12"/>
      <name val="Arial"/>
      <family val="2"/>
    </font>
    <font>
      <sz val="12"/>
      <color indexed="39"/>
      <name val="Arial"/>
      <family val="2"/>
    </font>
    <font>
      <b/>
      <sz val="12"/>
      <name val="Arial"/>
      <family val="2"/>
    </font>
    <font>
      <sz val="10"/>
      <name val="Arial"/>
      <family val="2"/>
    </font>
    <font>
      <b/>
      <sz val="11"/>
      <name val="Arial"/>
      <family val="2"/>
    </font>
    <font>
      <b/>
      <sz val="12"/>
      <color indexed="39"/>
      <name val="Arial"/>
      <family val="2"/>
    </font>
    <font>
      <b/>
      <i/>
      <sz val="12"/>
      <name val="Arial"/>
      <family val="2"/>
    </font>
    <font>
      <sz val="12"/>
      <color indexed="39"/>
      <name val="Arial"/>
      <family val="2"/>
    </font>
    <font>
      <b/>
      <sz val="14"/>
      <name val="Arial"/>
      <family val="2"/>
    </font>
    <font>
      <sz val="14"/>
      <name val="Arial"/>
      <family val="2"/>
    </font>
    <font>
      <sz val="12"/>
      <name val="Arial"/>
      <family val="2"/>
    </font>
    <font>
      <b/>
      <sz val="12"/>
      <name val="Arial"/>
      <family val="2"/>
    </font>
    <font>
      <sz val="12"/>
      <color indexed="12"/>
      <name val="Arial"/>
      <family val="2"/>
    </font>
    <font>
      <b/>
      <sz val="12"/>
      <color indexed="12"/>
      <name val="Arial"/>
      <family val="2"/>
    </font>
    <font>
      <sz val="11"/>
      <name val="Arial"/>
      <family val="2"/>
    </font>
    <font>
      <sz val="12"/>
      <color indexed="30"/>
      <name val="Arial"/>
      <family val="2"/>
    </font>
    <font>
      <sz val="10"/>
      <color indexed="30"/>
      <name val="Arial"/>
      <family val="2"/>
    </font>
    <font>
      <sz val="8"/>
      <name val="Arial"/>
      <family val="2"/>
    </font>
    <font>
      <sz val="10"/>
      <color indexed="39"/>
      <name val="Arial"/>
      <family val="2"/>
    </font>
    <font>
      <b/>
      <sz val="9"/>
      <name val="Arial"/>
      <family val="2"/>
    </font>
    <font>
      <sz val="12"/>
      <color rgb="FF0033CC"/>
      <name val="Arial"/>
      <family val="2"/>
    </font>
    <font>
      <sz val="12"/>
      <color rgb="FF0000FF"/>
      <name val="Arial"/>
      <family val="2"/>
    </font>
    <font>
      <sz val="10"/>
      <color rgb="FF0000FF"/>
      <name val="Arial"/>
      <family val="2"/>
    </font>
    <font>
      <b/>
      <sz val="8"/>
      <name val="Arial"/>
      <family val="2"/>
    </font>
    <font>
      <b/>
      <sz val="12"/>
      <color theme="1"/>
      <name val="Arial"/>
      <family val="2"/>
    </font>
    <font>
      <sz val="11"/>
      <color rgb="FF0000FF"/>
      <name val="Arial"/>
      <family val="2"/>
    </font>
    <font>
      <b/>
      <sz val="11"/>
      <color rgb="FF0000FF"/>
      <name val="Arial"/>
      <family val="2"/>
    </font>
    <font>
      <sz val="10"/>
      <color rgb="FFFF0000"/>
      <name val="Arial"/>
      <family val="2"/>
    </font>
    <font>
      <sz val="12"/>
      <name val="Times New Roman"/>
      <family val="1"/>
    </font>
    <font>
      <b/>
      <sz val="11"/>
      <name val="Times New Roman"/>
      <family val="1"/>
    </font>
    <font>
      <sz val="11"/>
      <name val="Times New Roman"/>
      <family val="1"/>
    </font>
    <font>
      <b/>
      <sz val="12"/>
      <color rgb="FFFF0000"/>
      <name val="Arial"/>
      <family val="2"/>
    </font>
    <font>
      <b/>
      <sz val="10"/>
      <color rgb="FF0000FF"/>
      <name val="Arial"/>
      <family val="2"/>
    </font>
    <font>
      <b/>
      <sz val="12"/>
      <color rgb="FFC00000"/>
      <name val="Arial"/>
      <family val="2"/>
    </font>
    <font>
      <sz val="12"/>
      <color rgb="FFC00000"/>
      <name val="Arial"/>
      <family val="2"/>
    </font>
    <font>
      <sz val="9"/>
      <name val="Arial"/>
      <family val="2"/>
    </font>
    <font>
      <b/>
      <sz val="10"/>
      <color rgb="FFFF0000"/>
      <name val="Arial"/>
      <family val="2"/>
    </font>
    <font>
      <sz val="12"/>
      <color rgb="FFFF0000"/>
      <name val="Arial"/>
      <family val="2"/>
    </font>
    <font>
      <b/>
      <sz val="10"/>
      <color indexed="39"/>
      <name val="Arial"/>
      <family val="2"/>
    </font>
    <font>
      <b/>
      <sz val="12"/>
      <color rgb="FF0000FF"/>
      <name val="Arial"/>
      <family val="2"/>
    </font>
    <font>
      <sz val="12"/>
      <color rgb="FF3333FF"/>
      <name val="Arial"/>
      <family val="2"/>
    </font>
    <font>
      <b/>
      <sz val="11"/>
      <color theme="1"/>
      <name val="Arial"/>
      <family val="2"/>
    </font>
    <font>
      <b/>
      <sz val="10"/>
      <color theme="1"/>
      <name val="Arial"/>
      <family val="2"/>
    </font>
    <font>
      <sz val="11"/>
      <color rgb="FF3333FF"/>
      <name val="Arial"/>
      <family val="2"/>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94">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8" fontId="4" fillId="0" borderId="0" xfId="0" applyNumberFormat="1" applyFont="1"/>
    <xf numFmtId="0" fontId="0" fillId="0" borderId="0" xfId="0" applyAlignment="1">
      <alignment horizontal="center"/>
    </xf>
    <xf numFmtId="1" fontId="3" fillId="0" borderId="0" xfId="0" applyNumberFormat="1" applyFont="1"/>
    <xf numFmtId="170" fontId="3" fillId="0" borderId="0" xfId="0" applyNumberFormat="1" applyFont="1"/>
    <xf numFmtId="164" fontId="7" fillId="0" borderId="0" xfId="0" applyNumberFormat="1" applyFont="1" applyProtection="1">
      <protection locked="0"/>
    </xf>
    <xf numFmtId="164" fontId="3" fillId="0" borderId="0" xfId="0" applyNumberFormat="1" applyFont="1"/>
    <xf numFmtId="0" fontId="8" fillId="0" borderId="0" xfId="0" applyFont="1"/>
    <xf numFmtId="6" fontId="3" fillId="0" borderId="0" xfId="0" applyNumberFormat="1" applyFont="1"/>
    <xf numFmtId="6" fontId="7" fillId="0" borderId="0" xfId="0" applyNumberFormat="1" applyFont="1" applyProtection="1">
      <protection locked="0"/>
    </xf>
    <xf numFmtId="1" fontId="7" fillId="0" borderId="0" xfId="0" applyNumberFormat="1" applyFont="1" applyProtection="1">
      <protection locked="0"/>
    </xf>
    <xf numFmtId="0" fontId="7" fillId="0" borderId="0" xfId="0" applyFont="1" applyProtection="1">
      <protection locked="0"/>
    </xf>
    <xf numFmtId="6" fontId="4" fillId="0" borderId="0" xfId="0" applyNumberFormat="1" applyFont="1"/>
    <xf numFmtId="8" fontId="0" fillId="0" borderId="0" xfId="0" applyNumberFormat="1"/>
    <xf numFmtId="170" fontId="3" fillId="0" borderId="0" xfId="0" applyNumberFormat="1" applyFont="1" applyProtection="1"/>
    <xf numFmtId="0" fontId="3" fillId="0" borderId="0" xfId="0" applyFont="1" applyProtection="1">
      <protection locked="0"/>
    </xf>
    <xf numFmtId="6" fontId="3" fillId="0" borderId="0" xfId="0" applyNumberFormat="1" applyFont="1" applyProtection="1"/>
    <xf numFmtId="0" fontId="1" fillId="0" borderId="0" xfId="0" applyFont="1"/>
    <xf numFmtId="0" fontId="10" fillId="0" borderId="0" xfId="0" applyFont="1"/>
    <xf numFmtId="1" fontId="7" fillId="0" borderId="1" xfId="0" applyNumberFormat="1" applyFont="1" applyBorder="1" applyProtection="1">
      <protection locked="0"/>
    </xf>
    <xf numFmtId="165" fontId="3" fillId="0" borderId="0" xfId="0" applyNumberFormat="1" applyFont="1"/>
    <xf numFmtId="165" fontId="4" fillId="0" borderId="0" xfId="0" applyNumberFormat="1" applyFont="1"/>
    <xf numFmtId="165" fontId="0" fillId="0" borderId="0" xfId="0" applyNumberFormat="1"/>
    <xf numFmtId="174" fontId="0" fillId="0" borderId="0" xfId="2" applyNumberFormat="1" applyFont="1"/>
    <xf numFmtId="174" fontId="0" fillId="0" borderId="0" xfId="0" applyNumberFormat="1"/>
    <xf numFmtId="6" fontId="0" fillId="0" borderId="0" xfId="0" applyNumberFormat="1"/>
    <xf numFmtId="6" fontId="1" fillId="0" borderId="0" xfId="0" applyNumberFormat="1" applyFont="1" applyProtection="1"/>
    <xf numFmtId="170" fontId="7" fillId="0" borderId="1" xfId="0" applyNumberFormat="1" applyFont="1" applyBorder="1" applyProtection="1">
      <protection locked="0"/>
    </xf>
    <xf numFmtId="1" fontId="1" fillId="0" borderId="0" xfId="0" applyNumberFormat="1" applyFont="1" applyProtection="1"/>
    <xf numFmtId="4" fontId="3" fillId="0" borderId="0" xfId="0" applyNumberFormat="1" applyFont="1" applyBorder="1" applyAlignment="1" applyProtection="1">
      <alignment horizontal="center"/>
    </xf>
    <xf numFmtId="4" fontId="3" fillId="0" borderId="0" xfId="0" applyNumberFormat="1" applyFont="1" applyAlignment="1" applyProtection="1">
      <alignment horizontal="center"/>
    </xf>
    <xf numFmtId="1" fontId="0" fillId="0" borderId="0" xfId="0" applyNumberFormat="1"/>
    <xf numFmtId="2" fontId="3" fillId="0" borderId="0" xfId="0" applyNumberFormat="1" applyFont="1" applyAlignment="1">
      <alignment horizontal="center"/>
    </xf>
    <xf numFmtId="1" fontId="4" fillId="0" borderId="0" xfId="0" applyNumberFormat="1" applyFont="1"/>
    <xf numFmtId="173" fontId="0" fillId="0" borderId="0" xfId="1" applyNumberFormat="1" applyFont="1"/>
    <xf numFmtId="173" fontId="0" fillId="0" borderId="0" xfId="0" applyNumberFormat="1"/>
    <xf numFmtId="6" fontId="6" fillId="0" borderId="0" xfId="0" applyNumberFormat="1" applyFont="1"/>
    <xf numFmtId="1" fontId="3" fillId="0" borderId="0" xfId="0" applyNumberFormat="1" applyFont="1" applyBorder="1"/>
    <xf numFmtId="6" fontId="7" fillId="0" borderId="1" xfId="0" applyNumberFormat="1" applyFont="1" applyBorder="1" applyProtection="1">
      <protection locked="0"/>
    </xf>
    <xf numFmtId="172" fontId="7" fillId="0" borderId="1" xfId="0" applyNumberFormat="1" applyFont="1" applyBorder="1" applyProtection="1">
      <protection locked="0"/>
    </xf>
    <xf numFmtId="1" fontId="11" fillId="0" borderId="1" xfId="0" applyNumberFormat="1" applyFont="1" applyBorder="1" applyProtection="1">
      <protection locked="0"/>
    </xf>
    <xf numFmtId="6" fontId="11" fillId="0" borderId="1" xfId="0" applyNumberFormat="1" applyFont="1" applyBorder="1" applyProtection="1">
      <protection locked="0"/>
    </xf>
    <xf numFmtId="0" fontId="4" fillId="0" borderId="0" xfId="0" applyFont="1" applyAlignment="1">
      <alignment horizontal="center"/>
    </xf>
    <xf numFmtId="176" fontId="12" fillId="0" borderId="0" xfId="0" applyNumberFormat="1" applyFont="1" applyAlignment="1">
      <alignment horizontal="center"/>
    </xf>
    <xf numFmtId="165" fontId="2" fillId="0" borderId="0" xfId="0" applyNumberFormat="1" applyFont="1"/>
    <xf numFmtId="164" fontId="2" fillId="0" borderId="0" xfId="0" applyNumberFormat="1" applyFont="1"/>
    <xf numFmtId="165" fontId="1" fillId="0" borderId="0" xfId="0" applyNumberFormat="1" applyFont="1"/>
    <xf numFmtId="164" fontId="0" fillId="0" borderId="0" xfId="0" applyNumberFormat="1"/>
    <xf numFmtId="0" fontId="9" fillId="0" borderId="0" xfId="0" applyFont="1"/>
    <xf numFmtId="3" fontId="3" fillId="0" borderId="0" xfId="0" applyNumberFormat="1" applyFont="1" applyProtection="1"/>
    <xf numFmtId="2" fontId="0" fillId="0" borderId="0" xfId="0" applyNumberFormat="1"/>
    <xf numFmtId="8" fontId="2" fillId="0" borderId="0" xfId="0" applyNumberFormat="1" applyFont="1"/>
    <xf numFmtId="0" fontId="3" fillId="0" borderId="0" xfId="0" applyFont="1" applyAlignment="1">
      <alignment horizontal="center"/>
    </xf>
    <xf numFmtId="174" fontId="4" fillId="0" borderId="0" xfId="0" applyNumberFormat="1" applyFont="1"/>
    <xf numFmtId="165" fontId="2" fillId="0" borderId="0" xfId="2" applyNumberFormat="1" applyFont="1"/>
    <xf numFmtId="38" fontId="1" fillId="0" borderId="0" xfId="0" applyNumberFormat="1" applyFont="1"/>
    <xf numFmtId="8" fontId="1" fillId="0" borderId="0" xfId="0" applyNumberFormat="1" applyFont="1"/>
    <xf numFmtId="9" fontId="3" fillId="0" borderId="0" xfId="2" applyFont="1"/>
    <xf numFmtId="8" fontId="7" fillId="0" borderId="1" xfId="0" applyNumberFormat="1" applyFont="1" applyBorder="1" applyProtection="1">
      <protection locked="0"/>
    </xf>
    <xf numFmtId="6" fontId="4" fillId="0" borderId="0" xfId="0" applyNumberFormat="1" applyFont="1" applyProtection="1"/>
    <xf numFmtId="0" fontId="16" fillId="0" borderId="0" xfId="0" applyFont="1" applyAlignment="1">
      <alignment horizontal="right"/>
    </xf>
    <xf numFmtId="0" fontId="16" fillId="0" borderId="0" xfId="0" applyFont="1" applyAlignment="1">
      <alignment horizontal="center"/>
    </xf>
    <xf numFmtId="0" fontId="16" fillId="0" borderId="0" xfId="0" applyFont="1"/>
    <xf numFmtId="164" fontId="4" fillId="0" borderId="0" xfId="0" applyNumberFormat="1" applyFont="1"/>
    <xf numFmtId="0" fontId="14" fillId="0" borderId="0" xfId="0" applyFont="1"/>
    <xf numFmtId="0" fontId="4" fillId="0" borderId="0" xfId="0" applyFont="1" applyFill="1" applyAlignment="1">
      <alignment horizontal="center"/>
    </xf>
    <xf numFmtId="0" fontId="0" fillId="0" borderId="0" xfId="0" applyFill="1"/>
    <xf numFmtId="8" fontId="16" fillId="0" borderId="0" xfId="0" applyNumberFormat="1" applyFont="1"/>
    <xf numFmtId="0" fontId="3" fillId="0" borderId="0" xfId="0" applyFont="1" applyFill="1" applyAlignment="1">
      <alignment horizontal="center"/>
    </xf>
    <xf numFmtId="1" fontId="16" fillId="0" borderId="0" xfId="0" applyNumberFormat="1" applyFont="1"/>
    <xf numFmtId="0" fontId="13" fillId="0" borderId="0" xfId="0" applyFont="1" applyAlignment="1"/>
    <xf numFmtId="0" fontId="4" fillId="0" borderId="0" xfId="0" applyFont="1" applyFill="1"/>
    <xf numFmtId="0" fontId="4" fillId="0" borderId="0" xfId="0" applyFont="1" applyAlignment="1">
      <alignment horizontal="right"/>
    </xf>
    <xf numFmtId="0" fontId="2" fillId="0" borderId="0" xfId="0" applyFont="1" applyAlignment="1">
      <alignment horizontal="right"/>
    </xf>
    <xf numFmtId="9" fontId="16" fillId="0" borderId="0" xfId="2" applyFont="1"/>
    <xf numFmtId="0" fontId="3" fillId="0" borderId="0" xfId="0" applyFont="1" applyFill="1" applyProtection="1"/>
    <xf numFmtId="178" fontId="19" fillId="0" borderId="0" xfId="0" applyNumberFormat="1" applyFont="1" applyFill="1" applyBorder="1" applyProtection="1">
      <protection locked="0"/>
    </xf>
    <xf numFmtId="178" fontId="3" fillId="0" borderId="0" xfId="0" applyNumberFormat="1" applyFont="1" applyFill="1" applyBorder="1" applyProtection="1"/>
    <xf numFmtId="178" fontId="4" fillId="0" borderId="0" xfId="0" applyNumberFormat="1" applyFont="1" applyFill="1" applyBorder="1" applyProtection="1">
      <protection locked="0"/>
    </xf>
    <xf numFmtId="174" fontId="4" fillId="0" borderId="0" xfId="2" applyNumberFormat="1" applyFont="1" applyFill="1" applyProtection="1"/>
    <xf numFmtId="166" fontId="4" fillId="0" borderId="0" xfId="0" applyNumberFormat="1" applyFont="1" applyFill="1" applyProtection="1"/>
    <xf numFmtId="0" fontId="0" fillId="0" borderId="0" xfId="0" applyFill="1" applyProtection="1"/>
    <xf numFmtId="166" fontId="0" fillId="0" borderId="0" xfId="0" applyNumberFormat="1" applyFill="1" applyProtection="1"/>
    <xf numFmtId="0" fontId="3" fillId="0" borderId="0" xfId="0" applyFont="1" applyFill="1"/>
    <xf numFmtId="0" fontId="9" fillId="0" borderId="0" xfId="0" applyFont="1" applyFill="1"/>
    <xf numFmtId="0" fontId="4" fillId="0" borderId="0" xfId="0" applyFont="1" applyFill="1" applyProtection="1"/>
    <xf numFmtId="0" fontId="3" fillId="0" borderId="0" xfId="0" applyFont="1" applyFill="1" applyAlignment="1">
      <alignment horizontal="fill"/>
    </xf>
    <xf numFmtId="3" fontId="3"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3" fontId="4" fillId="0" borderId="0" xfId="0" applyNumberFormat="1" applyFont="1" applyAlignment="1" applyProtection="1">
      <alignment horizontal="center"/>
    </xf>
    <xf numFmtId="169" fontId="3" fillId="0" borderId="0" xfId="0" applyNumberFormat="1" applyFont="1" applyProtection="1"/>
    <xf numFmtId="167" fontId="3" fillId="0" borderId="0" xfId="0" applyNumberFormat="1" applyFont="1" applyProtection="1"/>
    <xf numFmtId="164" fontId="3" fillId="0" borderId="0" xfId="0" applyNumberFormat="1" applyFont="1" applyProtection="1">
      <protection locked="0"/>
    </xf>
    <xf numFmtId="164" fontId="4" fillId="0" borderId="0" xfId="0" applyNumberFormat="1" applyFont="1" applyFill="1" applyProtection="1">
      <protection locked="0"/>
    </xf>
    <xf numFmtId="3" fontId="4" fillId="0" borderId="0" xfId="0" applyNumberFormat="1" applyFont="1" applyFill="1"/>
    <xf numFmtId="7" fontId="4" fillId="0" borderId="0" xfId="0" applyNumberFormat="1" applyFont="1" applyFill="1" applyBorder="1" applyProtection="1"/>
    <xf numFmtId="164" fontId="4" fillId="0" borderId="0" xfId="0" applyNumberFormat="1" applyFont="1" applyFill="1"/>
    <xf numFmtId="165" fontId="4" fillId="0" borderId="0" xfId="0" applyNumberFormat="1" applyFont="1" applyFill="1"/>
    <xf numFmtId="1" fontId="3" fillId="0" borderId="0" xfId="0" applyNumberFormat="1" applyFont="1" applyProtection="1"/>
    <xf numFmtId="1" fontId="4" fillId="0" borderId="0" xfId="0" applyNumberFormat="1" applyFont="1" applyFill="1"/>
    <xf numFmtId="167" fontId="4" fillId="0" borderId="0" xfId="0" applyNumberFormat="1" applyFont="1"/>
    <xf numFmtId="0" fontId="4" fillId="0" borderId="0" xfId="0" applyFont="1" applyFill="1" applyBorder="1" applyProtection="1"/>
    <xf numFmtId="166" fontId="4" fillId="0" borderId="0" xfId="0" applyNumberFormat="1" applyFont="1" applyFill="1"/>
    <xf numFmtId="169" fontId="4" fillId="0" borderId="0" xfId="0" applyNumberFormat="1" applyFont="1" applyProtection="1"/>
    <xf numFmtId="167" fontId="4" fillId="0" borderId="0" xfId="0" applyNumberFormat="1" applyFont="1" applyProtection="1"/>
    <xf numFmtId="164" fontId="4" fillId="0" borderId="0" xfId="0" applyNumberFormat="1" applyFont="1" applyProtection="1"/>
    <xf numFmtId="5" fontId="3" fillId="0" borderId="0" xfId="0" applyNumberFormat="1" applyFont="1" applyFill="1" applyProtection="1"/>
    <xf numFmtId="0" fontId="2" fillId="0" borderId="0" xfId="0" applyFont="1" applyFill="1" applyProtection="1"/>
    <xf numFmtId="0" fontId="2" fillId="0" borderId="0" xfId="0" applyFont="1" applyFill="1"/>
    <xf numFmtId="0" fontId="4" fillId="0" borderId="0" xfId="0" applyFont="1" applyAlignment="1" applyProtection="1">
      <alignment horizontal="center"/>
    </xf>
    <xf numFmtId="9" fontId="4" fillId="0" borderId="0" xfId="2" applyFont="1"/>
    <xf numFmtId="1" fontId="7" fillId="0" borderId="0" xfId="0" applyNumberFormat="1" applyFont="1" applyBorder="1" applyProtection="1">
      <protection locked="0"/>
    </xf>
    <xf numFmtId="0" fontId="3" fillId="0" borderId="0" xfId="0" applyFont="1" applyFill="1" applyBorder="1"/>
    <xf numFmtId="1" fontId="2" fillId="0" borderId="0" xfId="0" applyNumberFormat="1" applyFont="1" applyProtection="1"/>
    <xf numFmtId="6" fontId="16" fillId="0" borderId="0" xfId="0" applyNumberFormat="1" applyFont="1"/>
    <xf numFmtId="165" fontId="16" fillId="0" borderId="0" xfId="0" applyNumberFormat="1" applyFont="1"/>
    <xf numFmtId="8" fontId="3" fillId="0" borderId="0" xfId="0" applyNumberFormat="1" applyFont="1"/>
    <xf numFmtId="165" fontId="18" fillId="0" borderId="0" xfId="0" applyNumberFormat="1" applyFont="1" applyProtection="1">
      <protection locked="0"/>
    </xf>
    <xf numFmtId="0" fontId="21" fillId="0" borderId="0" xfId="0" applyFont="1"/>
    <xf numFmtId="165" fontId="18" fillId="0" borderId="0" xfId="0" applyNumberFormat="1" applyFont="1" applyBorder="1" applyProtection="1">
      <protection locked="0"/>
    </xf>
    <xf numFmtId="165" fontId="3" fillId="0" borderId="0" xfId="0" applyNumberFormat="1" applyFont="1" applyBorder="1"/>
    <xf numFmtId="165" fontId="8" fillId="0" borderId="0" xfId="0" applyNumberFormat="1" applyFont="1"/>
    <xf numFmtId="164" fontId="8" fillId="0" borderId="0" xfId="0" applyNumberFormat="1" applyFont="1"/>
    <xf numFmtId="165" fontId="6" fillId="0" borderId="0" xfId="0" applyNumberFormat="1" applyFont="1"/>
    <xf numFmtId="3" fontId="18" fillId="0" borderId="0" xfId="0" applyNumberFormat="1" applyFont="1" applyProtection="1">
      <protection locked="0"/>
    </xf>
    <xf numFmtId="8" fontId="18" fillId="0" borderId="0" xfId="0" applyNumberFormat="1" applyFont="1" applyProtection="1">
      <protection locked="0"/>
    </xf>
    <xf numFmtId="177" fontId="3" fillId="0" borderId="0" xfId="2" applyNumberFormat="1" applyFont="1" applyAlignment="1" applyProtection="1">
      <alignment horizontal="right"/>
    </xf>
    <xf numFmtId="0" fontId="4" fillId="0" borderId="0" xfId="0" applyFont="1" applyProtection="1">
      <protection locked="0"/>
    </xf>
    <xf numFmtId="4" fontId="4" fillId="0" borderId="0" xfId="0" applyNumberFormat="1" applyFont="1" applyAlignment="1" applyProtection="1">
      <alignment horizontal="center"/>
    </xf>
    <xf numFmtId="3" fontId="3" fillId="0" borderId="0" xfId="0" applyNumberFormat="1" applyFont="1"/>
    <xf numFmtId="174" fontId="3" fillId="0" borderId="0" xfId="0" applyNumberFormat="1" applyFont="1" applyFill="1"/>
    <xf numFmtId="165" fontId="3" fillId="0" borderId="0" xfId="0" applyNumberFormat="1" applyFont="1" applyFill="1"/>
    <xf numFmtId="165" fontId="3" fillId="0" borderId="0" xfId="0" applyNumberFormat="1" applyFont="1" applyProtection="1"/>
    <xf numFmtId="0" fontId="10" fillId="0" borderId="0" xfId="0" applyFont="1" applyAlignment="1">
      <alignment horizontal="center"/>
    </xf>
    <xf numFmtId="0" fontId="4" fillId="2" borderId="0" xfId="0" applyFont="1" applyFill="1"/>
    <xf numFmtId="0" fontId="3" fillId="2" borderId="0" xfId="0" applyFont="1" applyFill="1"/>
    <xf numFmtId="170" fontId="3" fillId="2" borderId="0" xfId="0" applyNumberFormat="1" applyFont="1" applyFill="1"/>
    <xf numFmtId="0" fontId="9" fillId="2" borderId="0" xfId="0" applyFont="1" applyFill="1"/>
    <xf numFmtId="0" fontId="4" fillId="2" borderId="0" xfId="0" applyFont="1" applyFill="1" applyProtection="1">
      <protection locked="0"/>
    </xf>
    <xf numFmtId="6" fontId="4" fillId="2" borderId="0" xfId="0" applyNumberFormat="1" applyFont="1" applyFill="1" applyProtection="1"/>
    <xf numFmtId="0" fontId="2" fillId="2" borderId="0" xfId="0" applyFont="1" applyFill="1"/>
    <xf numFmtId="174" fontId="4" fillId="2" borderId="0" xfId="2" applyNumberFormat="1" applyFont="1" applyFill="1"/>
    <xf numFmtId="172" fontId="7" fillId="2" borderId="0" xfId="0" applyNumberFormat="1" applyFont="1" applyFill="1" applyProtection="1">
      <protection locked="0"/>
    </xf>
    <xf numFmtId="8" fontId="4" fillId="2" borderId="0" xfId="0" applyNumberFormat="1" applyFont="1" applyFill="1"/>
    <xf numFmtId="165" fontId="4" fillId="2" borderId="0" xfId="0" applyNumberFormat="1" applyFont="1" applyFill="1"/>
    <xf numFmtId="6" fontId="4" fillId="2" borderId="0" xfId="0" applyNumberFormat="1" applyFont="1" applyFill="1"/>
    <xf numFmtId="174" fontId="4" fillId="2" borderId="0" xfId="0" applyNumberFormat="1" applyFont="1" applyFill="1"/>
    <xf numFmtId="0" fontId="4" fillId="2" borderId="0" xfId="0" applyFont="1" applyFill="1" applyBorder="1"/>
    <xf numFmtId="1" fontId="4" fillId="2" borderId="0" xfId="0" applyNumberFormat="1" applyFont="1" applyFill="1" applyBorder="1"/>
    <xf numFmtId="6" fontId="2" fillId="2" borderId="0" xfId="0" applyNumberFormat="1" applyFont="1" applyFill="1"/>
    <xf numFmtId="165" fontId="4" fillId="2" borderId="0" xfId="0" applyNumberFormat="1" applyFont="1" applyFill="1" applyBorder="1"/>
    <xf numFmtId="164" fontId="0" fillId="2" borderId="0" xfId="0" applyNumberFormat="1" applyFill="1"/>
    <xf numFmtId="8" fontId="2" fillId="2" borderId="0" xfId="0" applyNumberFormat="1" applyFont="1" applyFill="1"/>
    <xf numFmtId="172" fontId="3" fillId="0" borderId="0" xfId="0" applyNumberFormat="1" applyFont="1" applyBorder="1"/>
    <xf numFmtId="0" fontId="3" fillId="0" borderId="0" xfId="0" applyFont="1" applyBorder="1"/>
    <xf numFmtId="165" fontId="6" fillId="0" borderId="0" xfId="0" applyNumberFormat="1" applyFont="1" applyFill="1"/>
    <xf numFmtId="168" fontId="4" fillId="0" borderId="0" xfId="0" applyNumberFormat="1" applyFont="1"/>
    <xf numFmtId="10" fontId="0" fillId="0" borderId="0" xfId="2" applyNumberFormat="1" applyFont="1"/>
    <xf numFmtId="6" fontId="2" fillId="0" borderId="0" xfId="0" applyNumberFormat="1" applyFont="1" applyProtection="1"/>
    <xf numFmtId="165" fontId="2" fillId="2" borderId="0" xfId="0" applyNumberFormat="1" applyFont="1" applyFill="1"/>
    <xf numFmtId="8" fontId="3" fillId="0" borderId="0" xfId="0" applyNumberFormat="1" applyFont="1" applyProtection="1"/>
    <xf numFmtId="43" fontId="10" fillId="0" borderId="0" xfId="0" applyNumberFormat="1" applyFont="1"/>
    <xf numFmtId="3" fontId="4" fillId="2" borderId="0" xfId="0" applyNumberFormat="1" applyFont="1" applyFill="1"/>
    <xf numFmtId="170" fontId="0" fillId="0" borderId="0" xfId="0" applyNumberFormat="1"/>
    <xf numFmtId="0" fontId="6" fillId="2" borderId="0" xfId="0" applyFont="1" applyFill="1"/>
    <xf numFmtId="165" fontId="8" fillId="2" borderId="0" xfId="0" applyNumberFormat="1" applyFont="1" applyFill="1"/>
    <xf numFmtId="164" fontId="4" fillId="2" borderId="0" xfId="0" applyNumberFormat="1" applyFont="1" applyFill="1" applyBorder="1"/>
    <xf numFmtId="0" fontId="0" fillId="2" borderId="0" xfId="0" applyFill="1"/>
    <xf numFmtId="14" fontId="0" fillId="0" borderId="0" xfId="0" applyNumberFormat="1"/>
    <xf numFmtId="171" fontId="0" fillId="0" borderId="0" xfId="0" applyNumberFormat="1"/>
    <xf numFmtId="0" fontId="3" fillId="0" borderId="0" xfId="0" applyFont="1" applyAlignment="1"/>
    <xf numFmtId="173" fontId="7" fillId="0" borderId="1" xfId="1" applyNumberFormat="1" applyFont="1" applyBorder="1" applyProtection="1">
      <protection locked="0"/>
    </xf>
    <xf numFmtId="0" fontId="9" fillId="0" borderId="0" xfId="0" applyFont="1" applyAlignment="1">
      <alignment horizontal="right"/>
    </xf>
    <xf numFmtId="0" fontId="0" fillId="0" borderId="0" xfId="0" applyAlignment="1">
      <alignment horizontal="right"/>
    </xf>
    <xf numFmtId="0" fontId="20" fillId="0" borderId="0" xfId="0" applyFont="1"/>
    <xf numFmtId="164" fontId="22" fillId="0" borderId="0" xfId="0" applyNumberFormat="1" applyFont="1"/>
    <xf numFmtId="8" fontId="9" fillId="0" borderId="0" xfId="0" applyNumberFormat="1" applyFont="1"/>
    <xf numFmtId="8" fontId="7" fillId="0" borderId="0" xfId="0" applyNumberFormat="1" applyFont="1" applyProtection="1">
      <protection locked="0"/>
    </xf>
    <xf numFmtId="1" fontId="3" fillId="0" borderId="0" xfId="0" applyNumberFormat="1" applyFont="1" applyBorder="1" applyProtection="1"/>
    <xf numFmtId="9" fontId="0" fillId="0" borderId="0" xfId="2" applyFont="1"/>
    <xf numFmtId="0" fontId="4" fillId="0" borderId="0" xfId="0" applyFont="1" applyAlignment="1" applyProtection="1"/>
    <xf numFmtId="1" fontId="4" fillId="0" borderId="0" xfId="0" applyNumberFormat="1" applyFont="1" applyBorder="1" applyProtection="1"/>
    <xf numFmtId="9" fontId="0" fillId="0" borderId="0" xfId="0" applyNumberFormat="1"/>
    <xf numFmtId="164" fontId="3" fillId="0" borderId="0" xfId="0" applyNumberFormat="1" applyFont="1" applyAlignment="1" applyProtection="1">
      <alignment horizontal="center"/>
      <protection locked="0"/>
    </xf>
    <xf numFmtId="0" fontId="4" fillId="0" borderId="0" xfId="0" applyFont="1" applyAlignment="1" applyProtection="1">
      <alignment horizontal="right"/>
    </xf>
    <xf numFmtId="0" fontId="24" fillId="0" borderId="0" xfId="0" applyFont="1" applyProtection="1">
      <protection locked="0"/>
    </xf>
    <xf numFmtId="172" fontId="24" fillId="0" borderId="0" xfId="0" applyNumberFormat="1" applyFont="1" applyProtection="1">
      <protection locked="0"/>
    </xf>
    <xf numFmtId="175" fontId="2" fillId="0" borderId="0" xfId="2" applyNumberFormat="1" applyFont="1"/>
    <xf numFmtId="8" fontId="4" fillId="2" borderId="0" xfId="0" applyNumberFormat="1" applyFont="1" applyFill="1" applyProtection="1"/>
    <xf numFmtId="2" fontId="2" fillId="0" borderId="0" xfId="0" applyNumberFormat="1" applyFont="1"/>
    <xf numFmtId="164" fontId="9" fillId="0" borderId="0" xfId="0" applyNumberFormat="1" applyFont="1"/>
    <xf numFmtId="0" fontId="2" fillId="0" borderId="0" xfId="0" applyFont="1" applyAlignment="1">
      <alignment horizontal="center"/>
    </xf>
    <xf numFmtId="174" fontId="3" fillId="0" borderId="0" xfId="2" applyNumberFormat="1" applyFont="1"/>
    <xf numFmtId="1" fontId="4" fillId="0" borderId="0" xfId="0" applyNumberFormat="1" applyFont="1" applyAlignment="1">
      <alignment horizontal="left"/>
    </xf>
    <xf numFmtId="0" fontId="25" fillId="0" borderId="0" xfId="0" applyFont="1"/>
    <xf numFmtId="1" fontId="7" fillId="0" borderId="1" xfId="0" applyNumberFormat="1" applyFont="1" applyBorder="1" applyAlignment="1" applyProtection="1">
      <alignment horizontal="left"/>
      <protection locked="0"/>
    </xf>
    <xf numFmtId="174" fontId="4" fillId="0" borderId="0" xfId="2" applyNumberFormat="1" applyFont="1"/>
    <xf numFmtId="173" fontId="3" fillId="0" borderId="0" xfId="1" applyNumberFormat="1" applyFont="1"/>
    <xf numFmtId="2" fontId="4" fillId="0" borderId="0" xfId="0" applyNumberFormat="1" applyFont="1" applyBorder="1" applyAlignment="1">
      <alignment horizontal="center"/>
    </xf>
    <xf numFmtId="170" fontId="3" fillId="0" borderId="0" xfId="0" applyNumberFormat="1" applyFont="1" applyBorder="1" applyProtection="1"/>
    <xf numFmtId="170" fontId="3" fillId="0" borderId="3" xfId="0" applyNumberFormat="1" applyFont="1" applyBorder="1" applyProtection="1"/>
    <xf numFmtId="10" fontId="4" fillId="0" borderId="0" xfId="2" applyNumberFormat="1" applyFont="1"/>
    <xf numFmtId="172" fontId="3" fillId="0" borderId="0" xfId="0" applyNumberFormat="1" applyFont="1" applyBorder="1" applyProtection="1"/>
    <xf numFmtId="170" fontId="26" fillId="0" borderId="1" xfId="0" applyNumberFormat="1" applyFont="1" applyBorder="1" applyProtection="1">
      <protection locked="0"/>
    </xf>
    <xf numFmtId="164" fontId="27" fillId="0" borderId="0" xfId="0" applyNumberFormat="1" applyFont="1" applyProtection="1">
      <protection locked="0"/>
    </xf>
    <xf numFmtId="164" fontId="0" fillId="0" borderId="0" xfId="0" applyNumberFormat="1" applyAlignment="1">
      <alignment horizontal="center"/>
    </xf>
    <xf numFmtId="6" fontId="0" fillId="0" borderId="0" xfId="0" applyNumberFormat="1" applyAlignment="1">
      <alignment horizontal="center"/>
    </xf>
    <xf numFmtId="8" fontId="0" fillId="0" borderId="0" xfId="0" applyNumberFormat="1" applyAlignment="1">
      <alignment horizontal="center"/>
    </xf>
    <xf numFmtId="173" fontId="3" fillId="0" borderId="0" xfId="0" applyNumberFormat="1" applyFont="1"/>
    <xf numFmtId="1" fontId="7" fillId="0" borderId="0" xfId="0" applyNumberFormat="1" applyFont="1" applyBorder="1" applyAlignment="1" applyProtection="1">
      <alignment horizontal="left"/>
      <protection locked="0"/>
    </xf>
    <xf numFmtId="170" fontId="3" fillId="0" borderId="0" xfId="0" applyNumberFormat="1" applyFont="1" applyBorder="1" applyProtection="1">
      <protection locked="0"/>
    </xf>
    <xf numFmtId="1" fontId="3" fillId="0" borderId="0" xfId="0" applyNumberFormat="1" applyFont="1" applyBorder="1" applyProtection="1">
      <protection locked="0"/>
    </xf>
    <xf numFmtId="9" fontId="3" fillId="0" borderId="0" xfId="0" applyNumberFormat="1" applyFont="1"/>
    <xf numFmtId="170" fontId="7" fillId="0" borderId="7" xfId="0" applyNumberFormat="1" applyFont="1" applyBorder="1" applyProtection="1">
      <protection locked="0"/>
    </xf>
    <xf numFmtId="164" fontId="7" fillId="0" borderId="1" xfId="0" applyNumberFormat="1" applyFont="1" applyBorder="1" applyProtection="1">
      <protection locked="0"/>
    </xf>
    <xf numFmtId="8" fontId="7" fillId="0" borderId="9" xfId="0" applyNumberFormat="1" applyFont="1" applyBorder="1" applyProtection="1">
      <protection locked="0"/>
    </xf>
    <xf numFmtId="0" fontId="4" fillId="0" borderId="0" xfId="0" quotePrefix="1" applyFont="1" applyAlignment="1">
      <alignment horizontal="center"/>
    </xf>
    <xf numFmtId="3" fontId="7" fillId="0" borderId="1" xfId="0" applyNumberFormat="1" applyFont="1" applyBorder="1" applyProtection="1">
      <protection locked="0"/>
    </xf>
    <xf numFmtId="0" fontId="4" fillId="4" borderId="0" xfId="0" applyFont="1" applyFill="1"/>
    <xf numFmtId="6" fontId="4" fillId="4" borderId="0" xfId="0" applyNumberFormat="1" applyFont="1" applyFill="1"/>
    <xf numFmtId="3" fontId="4" fillId="4" borderId="0" xfId="0" applyNumberFormat="1" applyFont="1" applyFill="1"/>
    <xf numFmtId="164" fontId="4" fillId="4" borderId="0" xfId="0" applyNumberFormat="1" applyFont="1" applyFill="1"/>
    <xf numFmtId="173" fontId="4" fillId="0" borderId="0" xfId="0" applyNumberFormat="1" applyFont="1"/>
    <xf numFmtId="170" fontId="27" fillId="0" borderId="1" xfId="0" applyNumberFormat="1" applyFont="1" applyBorder="1" applyProtection="1">
      <protection locked="0"/>
    </xf>
    <xf numFmtId="0" fontId="27" fillId="0" borderId="0" xfId="0" applyFont="1" applyProtection="1">
      <protection locked="0"/>
    </xf>
    <xf numFmtId="170" fontId="27" fillId="0" borderId="9" xfId="0" applyNumberFormat="1" applyFont="1" applyBorder="1" applyProtection="1">
      <protection locked="0"/>
    </xf>
    <xf numFmtId="0" fontId="0" fillId="0" borderId="0" xfId="0" applyAlignment="1">
      <alignment horizontal="center"/>
    </xf>
    <xf numFmtId="0" fontId="5" fillId="0" borderId="0" xfId="0" applyFont="1" applyAlignment="1">
      <alignment horizontal="center"/>
    </xf>
    <xf numFmtId="8" fontId="4" fillId="4" borderId="0" xfId="0" applyNumberFormat="1" applyFont="1" applyFill="1"/>
    <xf numFmtId="174" fontId="4" fillId="4" borderId="0" xfId="2" applyNumberFormat="1" applyFont="1" applyFill="1"/>
    <xf numFmtId="0" fontId="0" fillId="0" borderId="0" xfId="0" applyAlignment="1">
      <alignment horizontal="center"/>
    </xf>
    <xf numFmtId="0" fontId="30" fillId="0" borderId="0" xfId="0" applyFont="1"/>
    <xf numFmtId="0" fontId="31" fillId="0" borderId="4" xfId="0" applyFont="1" applyBorder="1" applyProtection="1">
      <protection locked="0"/>
    </xf>
    <xf numFmtId="0" fontId="31" fillId="0" borderId="0" xfId="0" applyFont="1" applyProtection="1">
      <protection locked="0"/>
    </xf>
    <xf numFmtId="0" fontId="31" fillId="0" borderId="0" xfId="0" applyFont="1" applyBorder="1" applyProtection="1">
      <protection locked="0"/>
    </xf>
    <xf numFmtId="1" fontId="7" fillId="0" borderId="9" xfId="0" applyNumberFormat="1" applyFont="1" applyBorder="1" applyProtection="1">
      <protection locked="0"/>
    </xf>
    <xf numFmtId="9" fontId="4" fillId="0" borderId="0" xfId="0" applyNumberFormat="1" applyFont="1"/>
    <xf numFmtId="170" fontId="3" fillId="0" borderId="0" xfId="0" applyNumberFormat="1" applyFont="1" applyAlignment="1" applyProtection="1">
      <alignment horizontal="right"/>
    </xf>
    <xf numFmtId="0" fontId="4" fillId="0" borderId="0" xfId="0" applyFont="1" applyAlignment="1">
      <alignment horizontal="center"/>
    </xf>
    <xf numFmtId="0" fontId="0" fillId="0" borderId="0" xfId="0" applyAlignment="1">
      <alignment horizontal="center"/>
    </xf>
    <xf numFmtId="3" fontId="0" fillId="0" borderId="0" xfId="0" applyNumberFormat="1"/>
    <xf numFmtId="0" fontId="33" fillId="0" borderId="0" xfId="0" applyFont="1"/>
    <xf numFmtId="172" fontId="20" fillId="0" borderId="0" xfId="0" applyNumberFormat="1" applyFont="1" applyAlignment="1" applyProtection="1">
      <alignment horizontal="right"/>
      <protection locked="0"/>
    </xf>
    <xf numFmtId="1" fontId="4" fillId="2" borderId="0" xfId="0" applyNumberFormat="1" applyFont="1" applyFill="1" applyBorder="1" applyAlignment="1">
      <alignment horizontal="right"/>
    </xf>
    <xf numFmtId="6" fontId="27" fillId="0" borderId="10" xfId="0" applyNumberFormat="1" applyFont="1" applyBorder="1" applyProtection="1">
      <protection locked="0"/>
    </xf>
    <xf numFmtId="10" fontId="0" fillId="0" borderId="0" xfId="0" applyNumberFormat="1"/>
    <xf numFmtId="6" fontId="2" fillId="0" borderId="0" xfId="0" applyNumberFormat="1" applyFont="1"/>
    <xf numFmtId="10" fontId="2" fillId="0" borderId="0" xfId="0" applyNumberFormat="1" applyFont="1"/>
    <xf numFmtId="0" fontId="2" fillId="0" borderId="0" xfId="0" applyFont="1" applyAlignment="1">
      <alignment horizontal="center"/>
    </xf>
    <xf numFmtId="164" fontId="1" fillId="0" borderId="0" xfId="0" applyNumberFormat="1" applyFont="1"/>
    <xf numFmtId="2" fontId="3" fillId="0" borderId="0" xfId="0" applyNumberFormat="1" applyFont="1"/>
    <xf numFmtId="6" fontId="1" fillId="0" borderId="0" xfId="0" applyNumberFormat="1" applyFont="1"/>
    <xf numFmtId="9" fontId="2" fillId="0" borderId="0" xfId="0" applyNumberFormat="1" applyFont="1"/>
    <xf numFmtId="2" fontId="1" fillId="0" borderId="0" xfId="0" applyNumberFormat="1" applyFont="1"/>
    <xf numFmtId="174" fontId="1" fillId="0" borderId="0" xfId="2" applyNumberFormat="1" applyFont="1"/>
    <xf numFmtId="14" fontId="2" fillId="0" borderId="0" xfId="0" applyNumberFormat="1" applyFont="1"/>
    <xf numFmtId="174" fontId="3" fillId="0" borderId="0" xfId="2" applyNumberFormat="1" applyFont="1" applyBorder="1" applyProtection="1">
      <protection locked="0"/>
    </xf>
    <xf numFmtId="2" fontId="3" fillId="0" borderId="0" xfId="0" applyNumberFormat="1" applyFont="1" applyBorder="1" applyProtection="1"/>
    <xf numFmtId="0" fontId="36" fillId="0" borderId="0" xfId="0" applyFont="1" applyAlignment="1">
      <alignment horizontal="justify" vertical="center"/>
    </xf>
    <xf numFmtId="0" fontId="34" fillId="0" borderId="0" xfId="0" applyFont="1" applyAlignment="1">
      <alignment vertical="center"/>
    </xf>
    <xf numFmtId="174" fontId="3" fillId="0" borderId="0" xfId="0" applyNumberFormat="1" applyFont="1"/>
    <xf numFmtId="1" fontId="27" fillId="0" borderId="8" xfId="0" applyNumberFormat="1" applyFont="1" applyBorder="1" applyProtection="1">
      <protection locked="0"/>
    </xf>
    <xf numFmtId="9" fontId="3" fillId="0" borderId="0" xfId="2" applyFont="1" applyAlignment="1">
      <alignment horizontal="center"/>
    </xf>
    <xf numFmtId="8" fontId="4" fillId="0" borderId="0" xfId="0" applyNumberFormat="1" applyFont="1" applyAlignment="1">
      <alignment horizontal="center"/>
    </xf>
    <xf numFmtId="9" fontId="4" fillId="4" borderId="0" xfId="2" applyFont="1" applyFill="1" applyAlignment="1">
      <alignment horizontal="center"/>
    </xf>
    <xf numFmtId="9" fontId="4" fillId="0" borderId="0" xfId="2" applyFont="1" applyAlignment="1">
      <alignment horizontal="center"/>
    </xf>
    <xf numFmtId="6" fontId="4" fillId="4" borderId="0" xfId="0" applyNumberFormat="1" applyFont="1" applyFill="1" applyProtection="1"/>
    <xf numFmtId="164" fontId="7" fillId="0" borderId="0" xfId="0" applyNumberFormat="1" applyFont="1" applyBorder="1" applyProtection="1">
      <protection locked="0"/>
    </xf>
    <xf numFmtId="1" fontId="2" fillId="0" borderId="0" xfId="0" applyNumberFormat="1" applyFont="1"/>
    <xf numFmtId="0" fontId="37" fillId="0" borderId="0" xfId="0" applyFont="1"/>
    <xf numFmtId="173" fontId="4" fillId="2" borderId="0" xfId="1" applyNumberFormat="1" applyFont="1" applyFill="1"/>
    <xf numFmtId="172" fontId="3" fillId="0" borderId="0" xfId="0" applyNumberFormat="1" applyFont="1"/>
    <xf numFmtId="2" fontId="7" fillId="0" borderId="1" xfId="2" applyNumberFormat="1" applyFont="1" applyBorder="1" applyProtection="1">
      <protection locked="0"/>
    </xf>
    <xf numFmtId="0" fontId="4" fillId="0" borderId="0" xfId="0" applyFont="1" applyAlignment="1">
      <alignment horizontal="center"/>
    </xf>
    <xf numFmtId="0" fontId="3" fillId="0" borderId="0" xfId="0" applyFont="1" applyBorder="1" applyAlignment="1" applyProtection="1">
      <alignment horizontal="left"/>
    </xf>
    <xf numFmtId="0" fontId="3" fillId="0" borderId="0" xfId="0" applyFont="1" applyAlignment="1">
      <alignment horizontal="left"/>
    </xf>
    <xf numFmtId="0" fontId="1" fillId="0" borderId="0" xfId="0" applyFont="1" applyBorder="1"/>
    <xf numFmtId="164" fontId="4" fillId="0" borderId="0" xfId="0" applyNumberFormat="1" applyFont="1" applyFill="1" applyBorder="1"/>
    <xf numFmtId="0" fontId="28" fillId="0" borderId="0" xfId="0" applyFont="1" applyProtection="1">
      <protection locked="0"/>
    </xf>
    <xf numFmtId="0" fontId="38" fillId="0" borderId="0" xfId="0" applyFont="1" applyProtection="1">
      <protection locked="0"/>
    </xf>
    <xf numFmtId="165" fontId="24" fillId="0" borderId="0" xfId="0" applyNumberFormat="1" applyFont="1" applyProtection="1">
      <protection locked="0"/>
    </xf>
    <xf numFmtId="0" fontId="1" fillId="0" borderId="0" xfId="0" applyFont="1" applyAlignment="1">
      <alignment horizontal="right"/>
    </xf>
    <xf numFmtId="1" fontId="27" fillId="0" borderId="0" xfId="0" applyNumberFormat="1" applyFont="1" applyProtection="1">
      <protection locked="0"/>
    </xf>
    <xf numFmtId="3" fontId="27" fillId="0" borderId="0" xfId="0" applyNumberFormat="1" applyFont="1" applyProtection="1">
      <protection locked="0"/>
    </xf>
    <xf numFmtId="0" fontId="4" fillId="0" borderId="0" xfId="0" applyFont="1" applyAlignment="1">
      <alignment horizontal="center"/>
    </xf>
    <xf numFmtId="0" fontId="3" fillId="0" borderId="0" xfId="0" applyFont="1" applyBorder="1" applyAlignment="1" applyProtection="1">
      <alignment horizontal="left"/>
    </xf>
    <xf numFmtId="0" fontId="1" fillId="0" borderId="0" xfId="0" applyFont="1" applyBorder="1" applyAlignment="1" applyProtection="1"/>
    <xf numFmtId="170" fontId="4" fillId="0" borderId="0" xfId="0" applyNumberFormat="1" applyFont="1"/>
    <xf numFmtId="3" fontId="4" fillId="0" borderId="0" xfId="0" applyNumberFormat="1" applyFont="1" applyProtection="1"/>
    <xf numFmtId="165" fontId="4" fillId="4" borderId="0" xfId="0" applyNumberFormat="1" applyFont="1" applyFill="1"/>
    <xf numFmtId="0" fontId="30" fillId="0" borderId="0" xfId="0" applyFont="1" applyAlignment="1">
      <alignment horizontal="justify" vertical="center"/>
    </xf>
    <xf numFmtId="0" fontId="30" fillId="0" borderId="0" xfId="0" applyFont="1" applyAlignment="1">
      <alignment vertical="center" wrapText="1"/>
    </xf>
    <xf numFmtId="0" fontId="4" fillId="0" borderId="0" xfId="0" applyFont="1" applyAlignment="1">
      <alignment horizontal="center"/>
    </xf>
    <xf numFmtId="0" fontId="32" fillId="0" borderId="9" xfId="0" applyFont="1" applyBorder="1" applyAlignment="1" applyProtection="1">
      <alignment horizontal="left"/>
      <protection locked="0"/>
    </xf>
    <xf numFmtId="0" fontId="41" fillId="0" borderId="0" xfId="0" applyFont="1"/>
    <xf numFmtId="177" fontId="4" fillId="0" borderId="0" xfId="2" applyNumberFormat="1" applyFont="1" applyAlignment="1" applyProtection="1">
      <alignment horizontal="right"/>
    </xf>
    <xf numFmtId="3" fontId="4" fillId="0" borderId="0" xfId="0" applyNumberFormat="1" applyFont="1"/>
    <xf numFmtId="165" fontId="3" fillId="0" borderId="0" xfId="2" applyNumberFormat="1" applyFont="1" applyAlignment="1" applyProtection="1">
      <alignment horizontal="right"/>
    </xf>
    <xf numFmtId="164" fontId="3" fillId="0" borderId="0" xfId="2" applyNumberFormat="1" applyFont="1" applyAlignment="1" applyProtection="1">
      <alignment horizontal="right"/>
    </xf>
    <xf numFmtId="3" fontId="30" fillId="0" borderId="0" xfId="0" applyNumberFormat="1" applyFont="1"/>
    <xf numFmtId="0" fontId="4" fillId="0" borderId="0" xfId="0" applyFont="1" applyAlignment="1">
      <alignment horizontal="center" wrapText="1"/>
    </xf>
    <xf numFmtId="174" fontId="4" fillId="0" borderId="0" xfId="0" applyNumberFormat="1" applyFont="1" applyAlignment="1">
      <alignment horizontal="left"/>
    </xf>
    <xf numFmtId="167" fontId="3" fillId="0" borderId="0" xfId="0" applyNumberFormat="1" applyFont="1"/>
    <xf numFmtId="164" fontId="42" fillId="0" borderId="0" xfId="0" applyNumberFormat="1" applyFont="1"/>
    <xf numFmtId="2" fontId="33" fillId="0" borderId="0" xfId="0" applyNumberFormat="1" applyFont="1"/>
    <xf numFmtId="2" fontId="33" fillId="0" borderId="0" xfId="2" applyNumberFormat="1" applyFont="1"/>
    <xf numFmtId="0" fontId="7" fillId="0" borderId="0" xfId="0" applyFont="1" applyAlignment="1"/>
    <xf numFmtId="3" fontId="11" fillId="0" borderId="9" xfId="0" quotePrefix="1" applyNumberFormat="1" applyFont="1" applyBorder="1" applyProtection="1">
      <protection locked="0"/>
    </xf>
    <xf numFmtId="165" fontId="4" fillId="0" borderId="0" xfId="0" applyNumberFormat="1" applyFont="1" applyProtection="1"/>
    <xf numFmtId="0" fontId="4" fillId="3" borderId="0" xfId="0" applyFont="1" applyFill="1"/>
    <xf numFmtId="164" fontId="4" fillId="0" borderId="0" xfId="2" applyNumberFormat="1" applyFont="1" applyAlignment="1" applyProtection="1">
      <alignment horizontal="right"/>
    </xf>
    <xf numFmtId="164" fontId="2" fillId="0" borderId="0" xfId="2" applyNumberFormat="1" applyFont="1"/>
    <xf numFmtId="0" fontId="4" fillId="0" borderId="0" xfId="0" applyFont="1" applyAlignment="1">
      <alignment horizontal="center"/>
    </xf>
    <xf numFmtId="1" fontId="1" fillId="0" borderId="0" xfId="2" applyNumberFormat="1" applyFont="1"/>
    <xf numFmtId="1" fontId="1" fillId="0" borderId="0" xfId="0" applyNumberFormat="1" applyFont="1"/>
    <xf numFmtId="8" fontId="4" fillId="0" borderId="0" xfId="0" applyNumberFormat="1" applyFont="1" applyProtection="1"/>
    <xf numFmtId="0" fontId="1" fillId="0" borderId="0" xfId="0" applyFont="1" applyFill="1"/>
    <xf numFmtId="165" fontId="0" fillId="0" borderId="0" xfId="2" applyNumberFormat="1" applyFont="1"/>
    <xf numFmtId="164" fontId="10" fillId="0" borderId="0" xfId="0" applyNumberFormat="1" applyFont="1"/>
    <xf numFmtId="6" fontId="10" fillId="0" borderId="0" xfId="0" applyNumberFormat="1" applyFont="1" applyProtection="1"/>
    <xf numFmtId="6" fontId="10" fillId="0" borderId="0" xfId="0" applyNumberFormat="1" applyFont="1"/>
    <xf numFmtId="165" fontId="17" fillId="0" borderId="0" xfId="0" applyNumberFormat="1" applyFont="1" applyFill="1"/>
    <xf numFmtId="9" fontId="16" fillId="4" borderId="0" xfId="2" applyFont="1" applyFill="1"/>
    <xf numFmtId="0" fontId="0" fillId="4" borderId="0" xfId="0" applyFill="1"/>
    <xf numFmtId="5" fontId="4" fillId="4" borderId="0" xfId="0" applyNumberFormat="1" applyFont="1" applyFill="1" applyProtection="1"/>
    <xf numFmtId="164" fontId="7" fillId="0" borderId="0" xfId="3" applyNumberFormat="1" applyFont="1" applyProtection="1">
      <protection locked="0"/>
    </xf>
    <xf numFmtId="1" fontId="27" fillId="0" borderId="0" xfId="3" applyNumberFormat="1" applyFont="1" applyProtection="1">
      <protection locked="0"/>
    </xf>
    <xf numFmtId="0" fontId="27" fillId="0" borderId="0" xfId="3" applyFont="1" applyProtection="1">
      <protection locked="0"/>
    </xf>
    <xf numFmtId="172" fontId="0" fillId="0" borderId="0" xfId="0" applyNumberFormat="1"/>
    <xf numFmtId="2" fontId="4" fillId="0" borderId="0" xfId="0" applyNumberFormat="1" applyFont="1" applyAlignment="1">
      <alignment horizontal="center"/>
    </xf>
    <xf numFmtId="172" fontId="33" fillId="0" borderId="0" xfId="0" applyNumberFormat="1" applyFont="1"/>
    <xf numFmtId="172" fontId="4" fillId="0" borderId="0" xfId="0" applyNumberFormat="1" applyFont="1"/>
    <xf numFmtId="172" fontId="4" fillId="0" borderId="0" xfId="0" applyNumberFormat="1" applyFont="1" applyAlignment="1" applyProtection="1">
      <alignment horizontal="right"/>
    </xf>
    <xf numFmtId="180" fontId="3" fillId="0" borderId="0" xfId="0" applyNumberFormat="1" applyFont="1" applyFill="1"/>
    <xf numFmtId="0" fontId="20" fillId="0" borderId="0" xfId="0" applyFont="1" applyAlignment="1">
      <alignment horizontal="center"/>
    </xf>
    <xf numFmtId="172" fontId="11" fillId="0" borderId="1" xfId="0" applyNumberFormat="1" applyFont="1" applyBorder="1" applyProtection="1">
      <protection locked="0"/>
    </xf>
    <xf numFmtId="164" fontId="27" fillId="0" borderId="0" xfId="0" applyNumberFormat="1" applyFont="1" applyBorder="1" applyProtection="1">
      <protection locked="0"/>
    </xf>
    <xf numFmtId="164" fontId="4" fillId="0" borderId="0" xfId="0" applyNumberFormat="1" applyFont="1" applyProtection="1">
      <protection locked="0"/>
    </xf>
    <xf numFmtId="0" fontId="3" fillId="0" borderId="0" xfId="0" applyFont="1" applyAlignment="1">
      <alignment wrapText="1"/>
    </xf>
    <xf numFmtId="0" fontId="3" fillId="0" borderId="0" xfId="0" applyFont="1" applyAlignment="1">
      <alignment horizontal="justify" vertical="center"/>
    </xf>
    <xf numFmtId="0" fontId="4"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44" fillId="0" borderId="0" xfId="0" applyFont="1" applyAlignment="1" applyProtection="1"/>
    <xf numFmtId="0" fontId="24" fillId="0" borderId="0" xfId="0" applyFont="1" applyAlignment="1"/>
    <xf numFmtId="1" fontId="4" fillId="0" borderId="0" xfId="0" applyNumberFormat="1" applyFont="1" applyProtection="1"/>
    <xf numFmtId="1" fontId="18" fillId="0" borderId="9" xfId="0" applyNumberFormat="1" applyFont="1" applyBorder="1" applyProtection="1">
      <protection locked="0"/>
    </xf>
    <xf numFmtId="0" fontId="43" fillId="0" borderId="0" xfId="0" applyFont="1"/>
    <xf numFmtId="1" fontId="18" fillId="0" borderId="0" xfId="0" applyNumberFormat="1" applyFont="1" applyProtection="1">
      <protection locked="0"/>
    </xf>
    <xf numFmtId="1" fontId="3" fillId="0" borderId="0" xfId="2" applyNumberFormat="1" applyFont="1" applyProtection="1"/>
    <xf numFmtId="0" fontId="3" fillId="0" borderId="0" xfId="0" applyFont="1" applyAlignment="1" applyProtection="1">
      <alignment horizontal="center"/>
    </xf>
    <xf numFmtId="2" fontId="4" fillId="0" borderId="0" xfId="0" applyNumberFormat="1" applyFont="1"/>
    <xf numFmtId="0" fontId="1" fillId="0" borderId="0" xfId="0" applyFont="1" applyFill="1" applyAlignment="1">
      <alignment horizontal="fill"/>
    </xf>
    <xf numFmtId="164" fontId="4" fillId="0" borderId="0" xfId="0" applyNumberFormat="1" applyFont="1" applyBorder="1" applyProtection="1"/>
    <xf numFmtId="164" fontId="27" fillId="0" borderId="0" xfId="0" applyNumberFormat="1" applyFont="1" applyBorder="1" applyProtection="1"/>
    <xf numFmtId="173" fontId="3" fillId="0" borderId="0" xfId="1" applyNumberFormat="1" applyFont="1" applyProtection="1"/>
    <xf numFmtId="6" fontId="3" fillId="0" borderId="0" xfId="0" applyNumberFormat="1" applyFont="1" applyFill="1"/>
    <xf numFmtId="9" fontId="3" fillId="0" borderId="0" xfId="2" applyFont="1" applyFill="1"/>
    <xf numFmtId="5" fontId="4" fillId="4" borderId="0" xfId="0" applyNumberFormat="1" applyFont="1" applyFill="1"/>
    <xf numFmtId="1" fontId="4" fillId="4" borderId="0" xfId="0" applyNumberFormat="1" applyFont="1" applyFill="1"/>
    <xf numFmtId="7" fontId="4" fillId="4" borderId="0" xfId="0" applyNumberFormat="1" applyFont="1" applyFill="1" applyBorder="1"/>
    <xf numFmtId="0" fontId="1" fillId="0" borderId="0" xfId="0" applyFont="1" applyFill="1" applyProtection="1"/>
    <xf numFmtId="0" fontId="4" fillId="2" borderId="0" xfId="0" applyFont="1" applyFill="1" applyProtection="1"/>
    <xf numFmtId="37" fontId="4" fillId="2" borderId="0" xfId="0" applyNumberFormat="1" applyFont="1" applyFill="1" applyProtection="1"/>
    <xf numFmtId="7" fontId="4" fillId="2" borderId="0" xfId="0" applyNumberFormat="1" applyFont="1" applyFill="1" applyProtection="1"/>
    <xf numFmtId="37" fontId="4" fillId="0" borderId="0" xfId="0" applyNumberFormat="1" applyFont="1" applyFill="1" applyProtection="1"/>
    <xf numFmtId="7" fontId="4" fillId="0" borderId="0" xfId="0" applyNumberFormat="1" applyFont="1" applyFill="1" applyProtection="1"/>
    <xf numFmtId="164" fontId="37" fillId="0" borderId="0" xfId="0" applyNumberFormat="1" applyFont="1" applyFill="1"/>
    <xf numFmtId="8" fontId="3" fillId="0" borderId="0" xfId="0" applyNumberFormat="1" applyFont="1" applyProtection="1">
      <protection locked="0"/>
    </xf>
    <xf numFmtId="0" fontId="4" fillId="0" borderId="0" xfId="0" applyFont="1" applyAlignment="1">
      <alignment horizontal="center"/>
    </xf>
    <xf numFmtId="0" fontId="0" fillId="0" borderId="0" xfId="0" applyAlignment="1"/>
    <xf numFmtId="0" fontId="40" fillId="0" borderId="0" xfId="0" applyFont="1" applyAlignment="1"/>
    <xf numFmtId="3" fontId="27" fillId="0" borderId="0" xfId="0" applyNumberFormat="1" applyFont="1" applyProtection="1"/>
    <xf numFmtId="165" fontId="3" fillId="0" borderId="0" xfId="2" applyNumberFormat="1" applyFont="1"/>
    <xf numFmtId="164" fontId="4" fillId="2" borderId="0" xfId="0" applyNumberFormat="1" applyFont="1" applyFill="1"/>
    <xf numFmtId="1" fontId="4" fillId="0" borderId="0" xfId="0" applyNumberFormat="1" applyFont="1" applyAlignment="1">
      <alignment horizontal="center"/>
    </xf>
    <xf numFmtId="179" fontId="4" fillId="0" borderId="0" xfId="0" applyNumberFormat="1" applyFont="1" applyAlignment="1" applyProtection="1">
      <alignment horizontal="center"/>
    </xf>
    <xf numFmtId="1" fontId="4" fillId="0" borderId="0" xfId="0" applyNumberFormat="1" applyFont="1" applyAlignment="1" applyProtection="1">
      <alignment horizontal="center"/>
    </xf>
    <xf numFmtId="169" fontId="0" fillId="0" borderId="0" xfId="0" applyNumberFormat="1"/>
    <xf numFmtId="164" fontId="29" fillId="0" borderId="0" xfId="0" applyNumberFormat="1" applyFont="1"/>
    <xf numFmtId="164" fontId="4" fillId="0" borderId="0" xfId="0" applyNumberFormat="1" applyFont="1" applyAlignment="1">
      <alignment horizontal="right"/>
    </xf>
    <xf numFmtId="165" fontId="39" fillId="0" borderId="0" xfId="0" applyNumberFormat="1" applyFont="1"/>
    <xf numFmtId="0" fontId="4" fillId="0" borderId="0" xfId="0" applyFont="1" applyAlignment="1"/>
    <xf numFmtId="173" fontId="33" fillId="0" borderId="0" xfId="0" applyNumberFormat="1" applyFont="1"/>
    <xf numFmtId="1" fontId="33" fillId="0" borderId="0" xfId="0" applyNumberFormat="1" applyFont="1"/>
    <xf numFmtId="165" fontId="1" fillId="0" borderId="0" xfId="2" applyNumberFormat="1" applyFont="1"/>
    <xf numFmtId="173" fontId="2" fillId="0" borderId="0" xfId="1" applyNumberFormat="1" applyFont="1"/>
    <xf numFmtId="0" fontId="3" fillId="0" borderId="0" xfId="0" applyFont="1" applyAlignment="1"/>
    <xf numFmtId="0" fontId="4" fillId="0" borderId="0" xfId="0" applyFont="1" applyAlignment="1">
      <alignment horizontal="center"/>
    </xf>
    <xf numFmtId="0" fontId="0" fillId="0" borderId="0" xfId="0" applyAlignment="1">
      <alignment horizontal="center"/>
    </xf>
    <xf numFmtId="0" fontId="0" fillId="0" borderId="0" xfId="0" applyAlignment="1"/>
    <xf numFmtId="8" fontId="17" fillId="0" borderId="0" xfId="0" applyNumberFormat="1" applyFont="1" applyFill="1"/>
    <xf numFmtId="0" fontId="4" fillId="0" borderId="0" xfId="0" applyFont="1" applyAlignment="1">
      <alignment horizontal="center"/>
    </xf>
    <xf numFmtId="8" fontId="3" fillId="0" borderId="0" xfId="0" applyNumberFormat="1" applyFont="1" applyFill="1"/>
    <xf numFmtId="0" fontId="1" fillId="0" borderId="0" xfId="0" quotePrefix="1" applyFont="1"/>
    <xf numFmtId="0" fontId="3" fillId="0" borderId="0" xfId="0" applyFont="1" applyProtection="1"/>
    <xf numFmtId="165" fontId="37" fillId="0" borderId="0" xfId="0" applyNumberFormat="1" applyFont="1"/>
    <xf numFmtId="8" fontId="4" fillId="4" borderId="0" xfId="0" applyNumberFormat="1" applyFont="1" applyFill="1" applyProtection="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45" fillId="0" borderId="9" xfId="0" applyFont="1" applyBorder="1" applyProtection="1">
      <protection locked="0"/>
    </xf>
    <xf numFmtId="9" fontId="27" fillId="0" borderId="0" xfId="2" applyFont="1"/>
    <xf numFmtId="1" fontId="27" fillId="0" borderId="0" xfId="0" applyNumberFormat="1" applyFont="1"/>
    <xf numFmtId="0" fontId="1" fillId="0" borderId="0" xfId="0" applyFont="1" applyAlignment="1">
      <alignment horizontal="center"/>
    </xf>
    <xf numFmtId="164" fontId="27" fillId="0" borderId="0" xfId="0" applyNumberFormat="1" applyFont="1"/>
    <xf numFmtId="9" fontId="27" fillId="0" borderId="0" xfId="0" applyNumberFormat="1" applyFont="1"/>
    <xf numFmtId="1" fontId="3" fillId="0" borderId="0" xfId="2" applyNumberFormat="1" applyFont="1"/>
    <xf numFmtId="1" fontId="10" fillId="0" borderId="0" xfId="0" applyNumberFormat="1" applyFont="1"/>
    <xf numFmtId="9" fontId="4" fillId="0" borderId="0" xfId="2" applyFont="1" applyBorder="1" applyProtection="1"/>
    <xf numFmtId="9" fontId="39" fillId="0" borderId="0" xfId="2" applyFont="1"/>
    <xf numFmtId="1" fontId="4" fillId="0" borderId="1" xfId="0" applyNumberFormat="1" applyFont="1" applyBorder="1" applyProtection="1"/>
    <xf numFmtId="6" fontId="3" fillId="0" borderId="0" xfId="0" applyNumberFormat="1" applyFont="1" applyAlignment="1">
      <alignment horizontal="center"/>
    </xf>
    <xf numFmtId="173" fontId="4" fillId="4" borderId="0" xfId="0" applyNumberFormat="1" applyFont="1" applyFill="1"/>
    <xf numFmtId="0" fontId="4" fillId="0" borderId="0" xfId="0" applyFont="1" applyAlignment="1">
      <alignment horizontal="center"/>
    </xf>
    <xf numFmtId="9" fontId="3" fillId="4" borderId="0" xfId="0" applyNumberFormat="1" applyFont="1" applyFill="1"/>
    <xf numFmtId="0" fontId="4" fillId="0" borderId="0" xfId="0" applyFont="1" applyAlignment="1">
      <alignment horizontal="center"/>
    </xf>
    <xf numFmtId="0" fontId="0" fillId="0" borderId="0" xfId="0" applyAlignment="1">
      <alignment horizontal="center"/>
    </xf>
    <xf numFmtId="172" fontId="10" fillId="0" borderId="0" xfId="0" applyNumberFormat="1" applyFont="1" applyAlignment="1">
      <alignment horizontal="right"/>
    </xf>
    <xf numFmtId="3" fontId="45" fillId="0" borderId="9" xfId="0" applyNumberFormat="1" applyFont="1" applyBorder="1" applyProtection="1">
      <protection locked="0"/>
    </xf>
    <xf numFmtId="9" fontId="10" fillId="0" borderId="0" xfId="2" applyFont="1" applyAlignment="1">
      <alignment horizontal="center"/>
    </xf>
    <xf numFmtId="0" fontId="1" fillId="0" borderId="0" xfId="0" applyFont="1" applyBorder="1" applyProtection="1"/>
    <xf numFmtId="1" fontId="27" fillId="0" borderId="9" xfId="0" applyNumberFormat="1" applyFont="1" applyBorder="1" applyProtection="1">
      <protection locked="0"/>
    </xf>
    <xf numFmtId="1" fontId="10" fillId="0" borderId="0" xfId="0" applyNumberFormat="1" applyFont="1" applyAlignment="1">
      <alignment horizontal="left"/>
    </xf>
    <xf numFmtId="179" fontId="4" fillId="0" borderId="0" xfId="0" applyNumberFormat="1" applyFont="1" applyFill="1" applyProtection="1"/>
    <xf numFmtId="179" fontId="4" fillId="2" borderId="0" xfId="0" applyNumberFormat="1" applyFont="1" applyFill="1" applyProtection="1"/>
    <xf numFmtId="164" fontId="2" fillId="0" borderId="0" xfId="0" applyNumberFormat="1" applyFont="1" applyFill="1"/>
    <xf numFmtId="3" fontId="4" fillId="0" borderId="0" xfId="0" applyNumberFormat="1" applyFont="1" applyBorder="1" applyProtection="1"/>
    <xf numFmtId="0" fontId="39" fillId="0" borderId="0" xfId="0" applyFont="1"/>
    <xf numFmtId="3" fontId="45" fillId="0" borderId="9" xfId="0" applyNumberFormat="1" applyFont="1" applyBorder="1" applyAlignment="1" applyProtection="1"/>
    <xf numFmtId="0" fontId="42" fillId="0" borderId="0" xfId="0" applyFont="1"/>
    <xf numFmtId="0" fontId="4" fillId="0" borderId="0" xfId="0" applyFont="1" applyAlignment="1">
      <alignment horizontal="center"/>
    </xf>
    <xf numFmtId="0" fontId="0" fillId="0" borderId="0" xfId="0" applyAlignment="1">
      <alignment horizontal="center"/>
    </xf>
    <xf numFmtId="0" fontId="30" fillId="0" borderId="0" xfId="0" applyFont="1" applyProtection="1">
      <protection locked="0"/>
    </xf>
    <xf numFmtId="0" fontId="3" fillId="0" borderId="0" xfId="0" applyFont="1" applyAlignment="1">
      <alignment horizontal="right"/>
    </xf>
    <xf numFmtId="0" fontId="4" fillId="0" borderId="0" xfId="0" applyFont="1" applyAlignment="1" applyProtection="1">
      <alignment horizontal="center"/>
      <protection locked="0"/>
    </xf>
    <xf numFmtId="0" fontId="20" fillId="0" borderId="0" xfId="0" applyFont="1" applyAlignment="1">
      <alignment horizontal="right"/>
    </xf>
    <xf numFmtId="181" fontId="27" fillId="0" borderId="0" xfId="0" applyNumberFormat="1" applyFont="1" applyProtection="1">
      <protection locked="0"/>
    </xf>
    <xf numFmtId="0" fontId="45" fillId="0" borderId="0" xfId="0" applyFont="1" applyProtection="1">
      <protection locked="0"/>
    </xf>
    <xf numFmtId="1" fontId="46" fillId="0" borderId="0" xfId="0" applyNumberFormat="1" applyFont="1"/>
    <xf numFmtId="0" fontId="0" fillId="0" borderId="0" xfId="0" applyProtection="1">
      <protection locked="0"/>
    </xf>
    <xf numFmtId="1" fontId="30" fillId="0" borderId="0" xfId="0" applyNumberFormat="1" applyFont="1" applyProtection="1">
      <protection locked="0"/>
    </xf>
    <xf numFmtId="164" fontId="30" fillId="0" borderId="0" xfId="0" applyNumberFormat="1" applyFont="1"/>
    <xf numFmtId="0" fontId="47" fillId="0" borderId="0" xfId="0" applyFont="1"/>
    <xf numFmtId="165" fontId="30" fillId="0" borderId="0" xfId="0" applyNumberFormat="1" applyFont="1"/>
    <xf numFmtId="1" fontId="30" fillId="0" borderId="0" xfId="0" applyNumberFormat="1" applyFont="1"/>
    <xf numFmtId="164" fontId="48" fillId="0" borderId="0" xfId="0" applyNumberFormat="1" applyFont="1"/>
    <xf numFmtId="0" fontId="49" fillId="0" borderId="0" xfId="0" applyFont="1" applyProtection="1">
      <protection locked="0"/>
    </xf>
    <xf numFmtId="179" fontId="11" fillId="0" borderId="9" xfId="0" applyNumberFormat="1" applyFont="1" applyBorder="1" applyProtection="1">
      <protection locked="0"/>
    </xf>
    <xf numFmtId="6" fontId="19" fillId="0" borderId="9" xfId="0" applyNumberFormat="1" applyFont="1" applyBorder="1" applyProtection="1">
      <protection locked="0"/>
    </xf>
    <xf numFmtId="0" fontId="4" fillId="0" borderId="0" xfId="0" applyFont="1" applyAlignment="1">
      <alignment horizontal="center"/>
    </xf>
    <xf numFmtId="0" fontId="0" fillId="0" borderId="0" xfId="0" applyAlignment="1">
      <alignment horizontal="center"/>
    </xf>
    <xf numFmtId="0" fontId="28" fillId="0" borderId="2" xfId="0" applyFont="1" applyBorder="1" applyAlignment="1" applyProtection="1">
      <alignment horizontal="left"/>
      <protection locked="0"/>
    </xf>
    <xf numFmtId="0" fontId="27" fillId="0" borderId="2" xfId="0" applyFont="1" applyBorder="1" applyAlignment="1" applyProtection="1">
      <alignment horizontal="left"/>
      <protection locked="0"/>
    </xf>
    <xf numFmtId="0" fontId="28" fillId="0" borderId="4" xfId="0" applyFont="1" applyBorder="1" applyAlignment="1" applyProtection="1">
      <alignment horizontal="left"/>
      <protection locked="0"/>
    </xf>
    <xf numFmtId="0" fontId="4" fillId="0" borderId="0" xfId="0" applyFont="1" applyBorder="1" applyAlignment="1">
      <alignment horizontal="center"/>
    </xf>
    <xf numFmtId="0" fontId="0" fillId="0" borderId="0" xfId="0" applyBorder="1" applyAlignment="1"/>
    <xf numFmtId="0" fontId="0" fillId="0" borderId="0" xfId="0" applyAlignment="1"/>
    <xf numFmtId="0" fontId="35" fillId="0" borderId="0" xfId="0" applyFont="1" applyAlignment="1">
      <alignment vertical="center" wrapText="1"/>
    </xf>
    <xf numFmtId="0" fontId="2" fillId="0" borderId="0" xfId="0" applyFont="1" applyAlignment="1">
      <alignment horizontal="center"/>
    </xf>
    <xf numFmtId="0" fontId="35" fillId="0" borderId="0" xfId="0" applyFont="1" applyAlignment="1">
      <alignment horizontal="justify" vertical="center" wrapText="1"/>
    </xf>
    <xf numFmtId="0" fontId="0" fillId="0" borderId="0" xfId="0" applyAlignment="1">
      <alignment wrapText="1"/>
    </xf>
    <xf numFmtId="0" fontId="3" fillId="0" borderId="0" xfId="0" applyFont="1" applyAlignment="1"/>
    <xf numFmtId="0" fontId="28" fillId="0" borderId="5" xfId="0" applyFont="1" applyBorder="1" applyAlignment="1" applyProtection="1">
      <alignment horizontal="left"/>
      <protection locked="0"/>
    </xf>
    <xf numFmtId="0" fontId="28" fillId="0" borderId="2" xfId="0" applyFont="1" applyBorder="1" applyAlignment="1" applyProtection="1">
      <protection locked="0"/>
    </xf>
    <xf numFmtId="0" fontId="28" fillId="0" borderId="6" xfId="0" applyFont="1" applyBorder="1" applyAlignment="1" applyProtection="1">
      <protection locked="0"/>
    </xf>
    <xf numFmtId="0" fontId="14" fillId="0" borderId="0" xfId="0" applyFont="1" applyAlignment="1">
      <alignment horizontal="center"/>
    </xf>
    <xf numFmtId="0" fontId="15" fillId="0" borderId="0" xfId="0" applyFont="1" applyAlignment="1">
      <alignment horizontal="center"/>
    </xf>
    <xf numFmtId="0" fontId="44" fillId="0" borderId="5" xfId="0" applyFont="1" applyBorder="1" applyAlignment="1" applyProtection="1"/>
    <xf numFmtId="0" fontId="24" fillId="0" borderId="2" xfId="0" applyFont="1" applyBorder="1" applyAlignment="1"/>
    <xf numFmtId="0" fontId="24" fillId="0" borderId="6" xfId="0" applyFont="1" applyBorder="1" applyAlignment="1"/>
    <xf numFmtId="0" fontId="44" fillId="0" borderId="5" xfId="0" applyFont="1" applyBorder="1" applyAlignment="1" applyProtection="1">
      <protection locked="0"/>
    </xf>
    <xf numFmtId="0" fontId="24" fillId="0" borderId="2" xfId="0" applyFont="1" applyBorder="1" applyAlignment="1" applyProtection="1">
      <protection locked="0"/>
    </xf>
    <xf numFmtId="0" fontId="24" fillId="0" borderId="6" xfId="0" applyFont="1" applyBorder="1" applyAlignment="1" applyProtection="1">
      <protection locked="0"/>
    </xf>
    <xf numFmtId="0" fontId="27" fillId="0" borderId="5" xfId="0" applyFont="1" applyBorder="1" applyProtection="1">
      <protection locked="0"/>
    </xf>
    <xf numFmtId="0" fontId="0" fillId="0" borderId="6" xfId="0" applyBorder="1" applyProtection="1">
      <protection locked="0"/>
    </xf>
    <xf numFmtId="0" fontId="49" fillId="0" borderId="5" xfId="0" applyFont="1" applyBorder="1" applyProtection="1">
      <protection locked="0"/>
    </xf>
    <xf numFmtId="0" fontId="0" fillId="0" borderId="2" xfId="0" applyBorder="1"/>
    <xf numFmtId="0" fontId="0" fillId="0" borderId="6" xfId="0" applyBorder="1"/>
    <xf numFmtId="0" fontId="20" fillId="0" borderId="0" xfId="0" applyFont="1" applyBorder="1" applyAlignment="1" applyProtection="1">
      <protection locked="0"/>
    </xf>
    <xf numFmtId="0" fontId="40" fillId="0" borderId="0" xfId="0" applyFont="1" applyAlignment="1"/>
    <xf numFmtId="0" fontId="4" fillId="0" borderId="0" xfId="0" applyNumberFormat="1" applyFont="1" applyAlignment="1">
      <alignment horizontal="center"/>
    </xf>
    <xf numFmtId="0" fontId="0" fillId="0" borderId="0" xfId="0" applyNumberFormat="1" applyAlignment="1">
      <alignment horizontal="center"/>
    </xf>
    <xf numFmtId="176" fontId="31" fillId="0" borderId="0" xfId="0" applyNumberFormat="1" applyFont="1" applyAlignment="1" applyProtection="1">
      <alignment horizontal="left"/>
      <protection locked="0"/>
    </xf>
    <xf numFmtId="0" fontId="31" fillId="0" borderId="0" xfId="0" applyFont="1" applyAlignment="1" applyProtection="1">
      <alignment horizontal="left"/>
      <protection locked="0"/>
    </xf>
    <xf numFmtId="0" fontId="4" fillId="0" borderId="0" xfId="0" applyFont="1" applyAlignment="1">
      <alignment horizontal="left"/>
    </xf>
    <xf numFmtId="0" fontId="0" fillId="0" borderId="0" xfId="0" applyAlignment="1">
      <alignment horizontal="left"/>
    </xf>
    <xf numFmtId="0" fontId="3" fillId="0" borderId="0" xfId="0" applyFont="1" applyAlignment="1">
      <alignment horizontal="center"/>
    </xf>
  </cellXfs>
  <cellStyles count="4">
    <cellStyle name="Comma" xfId="1" builtinId="3"/>
    <cellStyle name="Normal" xfId="0" builtinId="0"/>
    <cellStyle name="Normal 2" xfId="3" xr:uid="{00000000-0005-0000-0000-00002F000000}"/>
    <cellStyle name="Percent" xfId="2" builtinId="5"/>
  </cellStyles>
  <dxfs count="0"/>
  <tableStyles count="0" defaultTableStyle="TableStyleMedium9" defaultPivotStyle="PivotStyleLight16"/>
  <colors>
    <mruColors>
      <color rgb="FF0000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Necessary Bred</a:t>
            </a:r>
            <a:r>
              <a:rPr lang="en-US" sz="1200" baseline="0">
                <a:solidFill>
                  <a:sysClr val="windowText" lastClr="000000"/>
                </a:solidFill>
                <a:latin typeface="Arial" panose="020B0604020202020204" pitchFamily="34" charset="0"/>
                <a:cs typeface="Arial" panose="020B0604020202020204" pitchFamily="34" charset="0"/>
              </a:rPr>
              <a:t> Heifer </a:t>
            </a:r>
            <a:r>
              <a:rPr lang="en-US" sz="1200">
                <a:solidFill>
                  <a:sysClr val="windowText" lastClr="000000"/>
                </a:solidFill>
                <a:latin typeface="Arial" panose="020B0604020202020204" pitchFamily="34" charset="0"/>
                <a:cs typeface="Arial" panose="020B0604020202020204" pitchFamily="34" charset="0"/>
              </a:rPr>
              <a:t>Price to Cover Costs and </a:t>
            </a:r>
          </a:p>
          <a:p>
            <a:pPr>
              <a:defRPr sz="1200">
                <a:solidFill>
                  <a:sysClr val="windowText" lastClr="000000"/>
                </a:solidFill>
                <a:latin typeface="Arial" panose="020B0604020202020204" pitchFamily="34" charset="0"/>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Target Net Income Margin Based on Heifer Cost In - $/Hd.</a:t>
            </a:r>
          </a:p>
          <a:p>
            <a:pPr>
              <a:defRPr sz="1200">
                <a:solidFill>
                  <a:sysClr val="windowText" lastClr="000000"/>
                </a:solidFill>
                <a:latin typeface="Arial" panose="020B0604020202020204" pitchFamily="34" charset="0"/>
                <a:cs typeface="Arial" panose="020B0604020202020204" pitchFamily="34" charset="0"/>
              </a:defRPr>
            </a:pPr>
            <a:endParaRPr lang="en-US" sz="1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587404082451476"/>
          <c:y val="2.6770315725097471E-2"/>
        </c:manualLayout>
      </c:layout>
      <c:overlay val="0"/>
      <c:spPr>
        <a:noFill/>
        <a:ln>
          <a:noFill/>
        </a:ln>
        <a:effectLst/>
      </c:spPr>
      <c:txPr>
        <a:bodyPr rot="0" spcFirstLastPara="1" vertOverflow="ellipsis" vert="horz" wrap="square" anchor="ctr" anchorCtr="1"/>
        <a:lstStyle/>
        <a:p>
          <a:pPr>
            <a:defRPr sz="12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endParaRPr lang="en-US"/>
        </a:p>
      </c:txPr>
    </c:title>
    <c:autoTitleDeleted val="0"/>
    <c:plotArea>
      <c:layout/>
      <c:lineChart>
        <c:grouping val="standard"/>
        <c:varyColors val="0"/>
        <c:ser>
          <c:idx val="0"/>
          <c:order val="0"/>
          <c:tx>
            <c:strRef>
              <c:f>'2.WeanedCalf to Sell Bred Heif '!$J$135</c:f>
              <c:strCache>
                <c:ptCount val="1"/>
                <c:pt idx="0">
                  <c:v>Price Out</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'2.WeanedCalf to Sell Bred Heif '!$K$134:$O$134</c:f>
              <c:numCache>
                <c:formatCode>"$"#,##0</c:formatCode>
                <c:ptCount val="5"/>
                <c:pt idx="0">
                  <c:v>650</c:v>
                </c:pt>
                <c:pt idx="1">
                  <c:v>700</c:v>
                </c:pt>
                <c:pt idx="2">
                  <c:v>750</c:v>
                </c:pt>
                <c:pt idx="3">
                  <c:v>800</c:v>
                </c:pt>
                <c:pt idx="4">
                  <c:v>850</c:v>
                </c:pt>
              </c:numCache>
            </c:numRef>
          </c:cat>
          <c:val>
            <c:numRef>
              <c:f>'2.WeanedCalf to Sell Bred Heif '!$K$135:$O$135</c:f>
              <c:numCache>
                <c:formatCode>"$"#,##0</c:formatCode>
                <c:ptCount val="5"/>
                <c:pt idx="0">
                  <c:v>1434.484917886288</c:v>
                </c:pt>
                <c:pt idx="1">
                  <c:v>1496.0885790307339</c:v>
                </c:pt>
                <c:pt idx="2">
                  <c:v>1557.6922401751794</c:v>
                </c:pt>
                <c:pt idx="3">
                  <c:v>1619.2959013196253</c:v>
                </c:pt>
                <c:pt idx="4">
                  <c:v>1680.8995624640709</c:v>
                </c:pt>
              </c:numCache>
            </c:numRef>
          </c:val>
          <c:smooth val="0"/>
          <c:extLst>
            <c:ext xmlns:c16="http://schemas.microsoft.com/office/drawing/2014/chart" uri="{C3380CC4-5D6E-409C-BE32-E72D297353CC}">
              <c16:uniqueId val="{00000000-4562-4F88-B838-A6ED328213EF}"/>
            </c:ext>
          </c:extLst>
        </c:ser>
        <c:dLbls>
          <c:dLblPos val="ctr"/>
          <c:showLegendKey val="0"/>
          <c:showVal val="1"/>
          <c:showCatName val="0"/>
          <c:showSerName val="0"/>
          <c:showPercent val="0"/>
          <c:showBubbleSize val="0"/>
        </c:dLbls>
        <c:smooth val="0"/>
        <c:axId val="260680296"/>
        <c:axId val="260680688"/>
      </c:lineChart>
      <c:catAx>
        <c:axId val="26068029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1100">
                    <a:solidFill>
                      <a:sysClr val="windowText" lastClr="000000"/>
                    </a:solidFill>
                    <a:latin typeface="Arial" panose="020B0604020202020204" pitchFamily="34" charset="0"/>
                    <a:cs typeface="Arial" panose="020B0604020202020204" pitchFamily="34" charset="0"/>
                  </a:rPr>
                  <a:t>Cost of Heifer In - $/Head</a:t>
                </a:r>
                <a:r>
                  <a:rPr lang="en-US" sz="1100" baseline="0">
                    <a:solidFill>
                      <a:sysClr val="windowText" lastClr="000000"/>
                    </a:solidFill>
                    <a:latin typeface="Arial" panose="020B0604020202020204" pitchFamily="34" charset="0"/>
                    <a:cs typeface="Arial" panose="020B0604020202020204" pitchFamily="34" charset="0"/>
                  </a:rPr>
                  <a:t> </a:t>
                </a:r>
                <a:endParaRPr lang="en-US"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1574691163604549"/>
              <c:y val="0.95278247309550856"/>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1" i="0" u="none" strike="noStrike" kern="1200" cap="none" spc="0" normalizeH="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0680688"/>
        <c:crosses val="autoZero"/>
        <c:auto val="1"/>
        <c:lblAlgn val="ctr"/>
        <c:lblOffset val="100"/>
        <c:noMultiLvlLbl val="0"/>
      </c:catAx>
      <c:valAx>
        <c:axId val="260680688"/>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a:solidFill>
                      <a:sysClr val="windowText" lastClr="000000"/>
                    </a:solidFill>
                    <a:latin typeface="Arial" panose="020B0604020202020204" pitchFamily="34" charset="0"/>
                    <a:cs typeface="Arial" panose="020B0604020202020204" pitchFamily="34" charset="0"/>
                  </a:rPr>
                  <a:t>Necessary Price Out -$/Hd.</a:t>
                </a:r>
              </a:p>
            </c:rich>
          </c:tx>
          <c:layout>
            <c:manualLayout>
              <c:xMode val="edge"/>
              <c:yMode val="edge"/>
              <c:x val="1.751592356687898E-2"/>
              <c:y val="0.40415258772265117"/>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068029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Bred Replacement Heifer Costs</a:t>
            </a:r>
          </a:p>
        </c:rich>
      </c:tx>
      <c:layout>
        <c:manualLayout>
          <c:xMode val="edge"/>
          <c:yMode val="edge"/>
          <c:x val="0.40073416222616931"/>
          <c:y val="1.9900497512437811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040-40FB-BCB3-76179AA859B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040-40FB-BCB3-76179AA859B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040-40FB-BCB3-76179AA859B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040-40FB-BCB3-76179AA859B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040-40FB-BCB3-76179AA859BA}"/>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A040-40FB-BCB3-76179AA859BA}"/>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A040-40FB-BCB3-76179AA859B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'3. Summary Report'!$B$33:$B$39</c:f>
              <c:strCache>
                <c:ptCount val="7"/>
                <c:pt idx="0">
                  <c:v>  Adjusted Heifer Initial Cost*</c:v>
                </c:pt>
                <c:pt idx="1">
                  <c:v>  Feed &amp; Grazing </c:v>
                </c:pt>
                <c:pt idx="2">
                  <c:v>  Process &amp; Health</c:v>
                </c:pt>
                <c:pt idx="3">
                  <c:v>  Other Direct Costs</c:v>
                </c:pt>
                <c:pt idx="4">
                  <c:v>  Breeding System </c:v>
                </c:pt>
                <c:pt idx="5">
                  <c:v> Total Indirect Costs</c:v>
                </c:pt>
                <c:pt idx="6">
                  <c:v>  Finance</c:v>
                </c:pt>
              </c:strCache>
            </c:strRef>
          </c:cat>
          <c:val>
            <c:numRef>
              <c:f>'3. Summary Report'!$C$33:$C$39</c:f>
              <c:numCache>
                <c:formatCode>"$"#,##0_);[Red]\("$"#,##0\)</c:formatCode>
                <c:ptCount val="7"/>
                <c:pt idx="0">
                  <c:v>732.74147727272725</c:v>
                </c:pt>
                <c:pt idx="1">
                  <c:v>373.16524621212119</c:v>
                </c:pt>
                <c:pt idx="2">
                  <c:v>14.204545454545453</c:v>
                </c:pt>
                <c:pt idx="3">
                  <c:v>0</c:v>
                </c:pt>
                <c:pt idx="4">
                  <c:v>112.78113162878786</c:v>
                </c:pt>
                <c:pt idx="5">
                  <c:v>174.75284090909091</c:v>
                </c:pt>
                <c:pt idx="6">
                  <c:v>51.012742320464923</c:v>
                </c:pt>
              </c:numCache>
            </c:numRef>
          </c:val>
          <c:extLst>
            <c:ext xmlns:c16="http://schemas.microsoft.com/office/drawing/2014/chart" uri="{C3380CC4-5D6E-409C-BE32-E72D297353CC}">
              <c16:uniqueId val="{0000000E-A040-40FB-BCB3-76179AA859B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AI Bred</a:t>
            </a:r>
            <a:r>
              <a:rPr lang="en-US" baseline="0"/>
              <a:t> Heifer Costs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823-4ADB-88B9-DC74CCE5066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823-4ADB-88B9-DC74CCE5066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823-4ADB-88B9-DC74CCE5066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823-4ADB-88B9-DC74CCE50663}"/>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823-4ADB-88B9-DC74CCE5066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A823-4ADB-88B9-DC74CCE5066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A823-4ADB-88B9-DC74CCE5066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 Conventional AI Summary'!$B$17:$B$23</c:f>
              <c:strCache>
                <c:ptCount val="7"/>
                <c:pt idx="0">
                  <c:v>  Adjusted Heifer Initial Cost*</c:v>
                </c:pt>
                <c:pt idx="1">
                  <c:v>  Feed &amp; Grazing </c:v>
                </c:pt>
                <c:pt idx="2">
                  <c:v>  Other</c:v>
                </c:pt>
                <c:pt idx="3">
                  <c:v>  Process &amp; Health</c:v>
                </c:pt>
                <c:pt idx="4">
                  <c:v>  Breeding System</c:v>
                </c:pt>
                <c:pt idx="5">
                  <c:v>  Interest </c:v>
                </c:pt>
                <c:pt idx="6">
                  <c:v>  Indirect Cost</c:v>
                </c:pt>
              </c:strCache>
            </c:strRef>
          </c:cat>
          <c:val>
            <c:numRef>
              <c:f>'5. Conventional AI Summary'!$C$17:$C$23</c:f>
              <c:numCache>
                <c:formatCode>"$"#,##0_);[Red]\("$"#,##0\)</c:formatCode>
                <c:ptCount val="7"/>
                <c:pt idx="0">
                  <c:v>732.74147727272725</c:v>
                </c:pt>
                <c:pt idx="1">
                  <c:v>373.16524621212119</c:v>
                </c:pt>
                <c:pt idx="2">
                  <c:v>0</c:v>
                </c:pt>
                <c:pt idx="3">
                  <c:v>14.204545454545453</c:v>
                </c:pt>
                <c:pt idx="4" formatCode="&quot;$&quot;#,##0.00_);[Red]\(&quot;$&quot;#,##0.00\)">
                  <c:v>112.78113162878786</c:v>
                </c:pt>
                <c:pt idx="5">
                  <c:v>51.012742320464923</c:v>
                </c:pt>
                <c:pt idx="6">
                  <c:v>174.75284090909091</c:v>
                </c:pt>
              </c:numCache>
            </c:numRef>
          </c:val>
          <c:extLst>
            <c:ext xmlns:c16="http://schemas.microsoft.com/office/drawing/2014/chart" uri="{C3380CC4-5D6E-409C-BE32-E72D297353CC}">
              <c16:uniqueId val="{0000000E-A823-4ADB-88B9-DC74CCE5066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70755</xdr:colOff>
      <xdr:row>4</xdr:row>
      <xdr:rowOff>38100</xdr:rowOff>
    </xdr:from>
    <xdr:to>
      <xdr:col>8</xdr:col>
      <xdr:colOff>114299</xdr:colOff>
      <xdr:row>6</xdr:row>
      <xdr:rowOff>16329</xdr:rowOff>
    </xdr:to>
    <xdr:pic>
      <xdr:nvPicPr>
        <xdr:cNvPr id="3" name="Picture 2" descr="TAMAgEXT">
          <a:extLst>
            <a:ext uri="{FF2B5EF4-FFF2-40B4-BE49-F238E27FC236}">
              <a16:creationId xmlns:a16="http://schemas.microsoft.com/office/drawing/2014/main" id="{28AFF7C4-36B9-43C3-8900-EDB1898EA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3812" y="821871"/>
          <a:ext cx="1665516" cy="370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18594</xdr:colOff>
      <xdr:row>130</xdr:row>
      <xdr:rowOff>158750</xdr:rowOff>
    </xdr:from>
    <xdr:to>
      <xdr:col>6</xdr:col>
      <xdr:colOff>609141</xdr:colOff>
      <xdr:row>163</xdr:row>
      <xdr:rowOff>76200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34924</xdr:colOff>
      <xdr:row>49</xdr:row>
      <xdr:rowOff>48985</xdr:rowOff>
    </xdr:from>
    <xdr:to>
      <xdr:col>4</xdr:col>
      <xdr:colOff>854528</xdr:colOff>
      <xdr:row>66</xdr:row>
      <xdr:rowOff>127000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63500</xdr:colOff>
      <xdr:row>35</xdr:row>
      <xdr:rowOff>38100</xdr:rowOff>
    </xdr:from>
    <xdr:to>
      <xdr:col>5</xdr:col>
      <xdr:colOff>920749</xdr:colOff>
      <xdr:row>58</xdr:row>
      <xdr:rowOff>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9"/>
  <sheetViews>
    <sheetView tabSelected="1" workbookViewId="0">
      <selection activeCell="H10" sqref="H10"/>
    </sheetView>
  </sheetViews>
  <sheetFormatPr defaultRowHeight="12.45" x14ac:dyDescent="0.3"/>
  <cols>
    <col min="1" max="1" width="6.07421875" customWidth="1"/>
    <col min="2" max="2" width="34.69140625" customWidth="1"/>
    <col min="3" max="3" width="12.69140625" customWidth="1"/>
    <col min="4" max="4" width="6.84375" customWidth="1"/>
    <col min="5" max="5" width="17.53515625" customWidth="1"/>
    <col min="6" max="6" width="21.69140625" customWidth="1"/>
    <col min="7" max="7" width="13.69140625" customWidth="1"/>
    <col min="9" max="9" width="15.84375" customWidth="1"/>
  </cols>
  <sheetData>
    <row r="1" spans="2:11" ht="15.45" x14ac:dyDescent="0.4">
      <c r="B1" s="456" t="s">
        <v>526</v>
      </c>
      <c r="C1" s="457"/>
      <c r="D1" s="457"/>
      <c r="E1" s="457"/>
      <c r="F1" s="457"/>
      <c r="G1" s="234"/>
    </row>
    <row r="2" spans="2:11" ht="15.45" x14ac:dyDescent="0.4">
      <c r="B2" s="456" t="s">
        <v>162</v>
      </c>
      <c r="C2" s="457"/>
      <c r="D2" s="457"/>
      <c r="E2" s="457"/>
      <c r="F2" s="457"/>
      <c r="G2" s="6"/>
    </row>
    <row r="3" spans="2:11" ht="15.65" customHeight="1" x14ac:dyDescent="0.4">
      <c r="B3" s="242"/>
      <c r="C3" s="6"/>
      <c r="D3" s="6"/>
      <c r="E3" s="6"/>
      <c r="F3" s="6"/>
      <c r="G3" s="316"/>
    </row>
    <row r="4" spans="2:11" ht="15.65" customHeight="1" x14ac:dyDescent="0.4">
      <c r="B4" s="242"/>
      <c r="C4" s="243"/>
      <c r="D4" s="243"/>
      <c r="E4" s="243"/>
      <c r="F4" s="243"/>
      <c r="G4" s="316"/>
      <c r="I4" s="172"/>
      <c r="J4" s="52"/>
    </row>
    <row r="5" spans="2:11" ht="15.45" x14ac:dyDescent="0.4">
      <c r="B5" s="461" t="s">
        <v>485</v>
      </c>
      <c r="C5" s="462"/>
      <c r="D5" s="462"/>
      <c r="E5" s="463"/>
      <c r="G5" s="6"/>
      <c r="I5" s="3"/>
      <c r="J5" s="57"/>
    </row>
    <row r="6" spans="2:11" ht="15.45" x14ac:dyDescent="0.4">
      <c r="B6" s="2"/>
      <c r="C6" s="2"/>
      <c r="D6" s="3" t="s">
        <v>167</v>
      </c>
      <c r="E6" s="52"/>
      <c r="F6" s="235" t="s">
        <v>201</v>
      </c>
      <c r="G6" s="3"/>
      <c r="K6" s="35"/>
    </row>
    <row r="7" spans="2:11" ht="15" x14ac:dyDescent="0.35">
      <c r="B7" s="178" t="s">
        <v>65</v>
      </c>
      <c r="C7" s="227">
        <v>43753</v>
      </c>
      <c r="F7" s="236"/>
      <c r="G7" s="259">
        <v>43971</v>
      </c>
      <c r="H7" s="52" t="s">
        <v>172</v>
      </c>
      <c r="I7" s="259"/>
      <c r="K7" s="2"/>
    </row>
    <row r="8" spans="2:11" ht="15" x14ac:dyDescent="0.35">
      <c r="B8" s="2" t="s">
        <v>130</v>
      </c>
      <c r="C8" s="207">
        <v>43525</v>
      </c>
      <c r="D8" s="1"/>
      <c r="F8" s="236"/>
      <c r="H8" s="2"/>
      <c r="J8" s="2"/>
      <c r="K8" s="2"/>
    </row>
    <row r="9" spans="2:11" ht="15.45" x14ac:dyDescent="0.4">
      <c r="B9" s="2" t="s">
        <v>279</v>
      </c>
      <c r="C9" s="207">
        <v>43753</v>
      </c>
      <c r="D9" s="37">
        <f>((C9-C8)/(365/12))</f>
        <v>7.4958904109589035</v>
      </c>
      <c r="E9" s="2" t="s">
        <v>58</v>
      </c>
      <c r="F9" s="236"/>
      <c r="G9" s="2"/>
      <c r="H9" s="2"/>
      <c r="J9" s="2"/>
      <c r="K9" s="2"/>
    </row>
    <row r="10" spans="2:11" ht="15.45" x14ac:dyDescent="0.4">
      <c r="B10" s="4"/>
      <c r="C10" s="2"/>
      <c r="D10" s="202"/>
      <c r="E10" s="56"/>
      <c r="F10" s="236"/>
      <c r="G10" s="2"/>
      <c r="H10" s="2"/>
      <c r="J10" s="2"/>
      <c r="K10" s="2"/>
    </row>
    <row r="11" spans="2:11" ht="15.45" x14ac:dyDescent="0.4">
      <c r="B11" s="2" t="s">
        <v>161</v>
      </c>
      <c r="C11" s="31">
        <v>43876</v>
      </c>
      <c r="D11" s="37">
        <f>((C11-$C$8)/(365/12))</f>
        <v>11.53972602739726</v>
      </c>
      <c r="E11" s="178" t="s">
        <v>163</v>
      </c>
      <c r="F11" s="236"/>
      <c r="G11" s="2"/>
      <c r="H11" s="2"/>
      <c r="J11" s="2"/>
      <c r="K11" s="2"/>
    </row>
    <row r="12" spans="2:11" ht="15.45" x14ac:dyDescent="0.4">
      <c r="B12" s="3"/>
      <c r="D12" s="1"/>
      <c r="E12" s="16"/>
      <c r="F12" s="236"/>
      <c r="G12" s="2"/>
      <c r="H12" s="2"/>
      <c r="I12" s="2"/>
      <c r="J12" s="2"/>
      <c r="K12" s="2"/>
    </row>
    <row r="13" spans="2:11" ht="15.45" x14ac:dyDescent="0.4">
      <c r="B13" s="2" t="s">
        <v>66</v>
      </c>
      <c r="C13" s="217">
        <v>43952</v>
      </c>
      <c r="D13" s="37">
        <f>((C13-$C$8)/(365/12))</f>
        <v>14.038356164383561</v>
      </c>
      <c r="E13" s="2" t="s">
        <v>164</v>
      </c>
      <c r="F13" s="237"/>
      <c r="G13" s="2"/>
      <c r="H13" s="2"/>
      <c r="I13" s="2"/>
      <c r="J13" s="2"/>
      <c r="K13" s="2"/>
    </row>
    <row r="14" spans="2:11" ht="15.45" x14ac:dyDescent="0.4">
      <c r="B14" s="2" t="s">
        <v>70</v>
      </c>
      <c r="C14" s="265">
        <v>60</v>
      </c>
      <c r="D14" s="3"/>
      <c r="E14" s="2"/>
      <c r="F14" s="236"/>
      <c r="G14" s="7"/>
      <c r="H14" s="2"/>
      <c r="I14" s="2"/>
      <c r="J14" s="2"/>
      <c r="K14" s="2"/>
    </row>
    <row r="15" spans="2:11" ht="15.45" x14ac:dyDescent="0.4">
      <c r="B15" s="3" t="s">
        <v>203</v>
      </c>
      <c r="C15" s="291">
        <f>C13+C14</f>
        <v>44012</v>
      </c>
      <c r="D15" s="3"/>
      <c r="E15" s="2"/>
      <c r="F15" s="236"/>
      <c r="G15" s="7"/>
      <c r="H15" s="2"/>
      <c r="I15" s="2"/>
      <c r="J15" s="2"/>
      <c r="K15" s="2"/>
    </row>
    <row r="16" spans="2:11" ht="15.45" x14ac:dyDescent="0.4">
      <c r="B16" s="2"/>
      <c r="C16" s="8"/>
      <c r="D16" s="3"/>
      <c r="E16" s="2"/>
      <c r="F16" s="236" t="s">
        <v>476</v>
      </c>
      <c r="G16" s="7"/>
      <c r="H16" s="2"/>
      <c r="I16" s="2"/>
      <c r="J16" s="2"/>
      <c r="K16" s="2"/>
    </row>
    <row r="17" spans="2:11" ht="15.45" x14ac:dyDescent="0.4">
      <c r="B17" s="178" t="s">
        <v>2</v>
      </c>
      <c r="C17" s="182">
        <f>C21-C15</f>
        <v>45</v>
      </c>
      <c r="D17" s="3"/>
      <c r="E17" s="8"/>
      <c r="F17" s="236" t="s">
        <v>527</v>
      </c>
      <c r="G17" s="2"/>
      <c r="H17" s="2"/>
      <c r="I17" s="2"/>
      <c r="J17" s="2"/>
      <c r="K17" s="2"/>
    </row>
    <row r="18" spans="2:11" ht="15.45" x14ac:dyDescent="0.4">
      <c r="B18" s="2"/>
      <c r="C18" s="8"/>
      <c r="D18" s="3"/>
      <c r="E18" s="2"/>
      <c r="F18" s="238"/>
      <c r="G18" s="2"/>
      <c r="H18" s="2"/>
      <c r="I18" s="2"/>
      <c r="J18" s="2"/>
      <c r="K18" s="2"/>
    </row>
    <row r="19" spans="2:11" ht="15.45" x14ac:dyDescent="0.4">
      <c r="B19" s="2" t="s">
        <v>30</v>
      </c>
      <c r="C19" s="229">
        <v>44044</v>
      </c>
      <c r="D19" s="37">
        <f>((C19-$C$8)/(365/12))</f>
        <v>17.063013698630137</v>
      </c>
      <c r="E19" s="178" t="s">
        <v>202</v>
      </c>
      <c r="F19" s="236"/>
      <c r="G19" s="2"/>
      <c r="H19" s="2"/>
      <c r="I19" s="2"/>
      <c r="J19" s="2"/>
      <c r="K19" s="2"/>
    </row>
    <row r="20" spans="2:11" ht="15.45" x14ac:dyDescent="0.4">
      <c r="B20" s="2"/>
      <c r="C20" s="115"/>
      <c r="D20" s="3"/>
      <c r="E20" s="2"/>
      <c r="F20" s="2"/>
      <c r="G20" s="2"/>
      <c r="H20" s="2"/>
      <c r="I20" s="2"/>
      <c r="J20" s="2"/>
      <c r="K20" s="2"/>
    </row>
    <row r="21" spans="2:11" ht="15.45" x14ac:dyDescent="0.4">
      <c r="B21" s="3" t="s">
        <v>57</v>
      </c>
      <c r="C21" s="229">
        <v>44057</v>
      </c>
      <c r="D21" s="37">
        <f>((C21-C8)/(365/12))</f>
        <v>17.490410958904111</v>
      </c>
      <c r="E21" s="2" t="s">
        <v>165</v>
      </c>
      <c r="F21" s="236" t="s">
        <v>503</v>
      </c>
      <c r="J21" s="2"/>
    </row>
    <row r="22" spans="2:11" ht="15.45" x14ac:dyDescent="0.4">
      <c r="B22" s="2"/>
      <c r="C22" s="241" t="s">
        <v>28</v>
      </c>
      <c r="D22" s="37"/>
      <c r="E22" s="2"/>
      <c r="F22" s="238"/>
      <c r="J22" s="2"/>
    </row>
    <row r="23" spans="2:11" ht="15.45" x14ac:dyDescent="0.4">
      <c r="B23" s="3" t="s">
        <v>210</v>
      </c>
      <c r="C23" s="3">
        <f>C21-C7</f>
        <v>304</v>
      </c>
      <c r="D23" s="335">
        <f>C23/(365/12)</f>
        <v>9.9945205479452053</v>
      </c>
      <c r="F23" s="236"/>
      <c r="G23" s="7"/>
      <c r="H23" s="201"/>
      <c r="I23" s="2"/>
      <c r="J23" s="2"/>
      <c r="K23" s="2"/>
    </row>
    <row r="24" spans="2:11" ht="15.45" x14ac:dyDescent="0.4">
      <c r="B24" s="3"/>
      <c r="C24" s="3"/>
      <c r="D24" s="1"/>
      <c r="G24" s="7"/>
      <c r="H24" s="201"/>
      <c r="I24" s="2"/>
      <c r="J24" s="2"/>
      <c r="K24" s="2"/>
    </row>
    <row r="25" spans="2:11" ht="15.45" x14ac:dyDescent="0.4">
      <c r="B25" s="3" t="s">
        <v>0</v>
      </c>
      <c r="C25" s="291">
        <f>C13+283</f>
        <v>44235</v>
      </c>
      <c r="D25" s="37">
        <f>((C25-C8)/(365/12))</f>
        <v>23.342465753424655</v>
      </c>
      <c r="E25" s="3" t="s">
        <v>166</v>
      </c>
      <c r="F25" s="236"/>
      <c r="G25" s="2"/>
      <c r="J25" s="39"/>
    </row>
    <row r="26" spans="2:11" x14ac:dyDescent="0.3">
      <c r="D26" s="1"/>
    </row>
    <row r="27" spans="2:11" ht="20.149999999999999" customHeight="1" x14ac:dyDescent="0.3">
      <c r="B27" s="460"/>
      <c r="C27" s="460"/>
      <c r="D27" s="460"/>
      <c r="E27" s="460"/>
      <c r="F27" s="460"/>
    </row>
    <row r="28" spans="2:11" ht="20.149999999999999" customHeight="1" x14ac:dyDescent="0.3">
      <c r="B28" s="460" t="s">
        <v>484</v>
      </c>
      <c r="C28" s="460"/>
      <c r="D28" s="460"/>
      <c r="E28" s="460"/>
      <c r="F28" s="460"/>
    </row>
    <row r="29" spans="2:11" ht="20.149999999999999" customHeight="1" x14ac:dyDescent="0.35">
      <c r="B29" s="458" t="s">
        <v>525</v>
      </c>
      <c r="C29" s="459"/>
      <c r="D29" s="459"/>
      <c r="E29" s="459"/>
      <c r="F29" s="459"/>
    </row>
    <row r="30" spans="2:11" ht="20.149999999999999" customHeight="1" x14ac:dyDescent="0.35">
      <c r="B30" s="458"/>
      <c r="C30" s="459"/>
      <c r="D30" s="459"/>
      <c r="E30" s="459"/>
      <c r="F30" s="459"/>
    </row>
    <row r="31" spans="2:11" ht="20.149999999999999" customHeight="1" x14ac:dyDescent="0.35">
      <c r="B31" s="458"/>
      <c r="C31" s="459"/>
      <c r="D31" s="459"/>
      <c r="E31" s="459"/>
      <c r="F31" s="459"/>
    </row>
    <row r="32" spans="2:11" ht="20.149999999999999" customHeight="1" x14ac:dyDescent="0.35">
      <c r="B32" s="458"/>
      <c r="C32" s="459"/>
      <c r="D32" s="459"/>
      <c r="E32" s="459"/>
      <c r="F32" s="459"/>
    </row>
    <row r="33" spans="2:6" ht="20.149999999999999" customHeight="1" x14ac:dyDescent="0.35">
      <c r="B33" s="458"/>
      <c r="C33" s="459"/>
      <c r="D33" s="459"/>
      <c r="E33" s="459"/>
      <c r="F33" s="459"/>
    </row>
    <row r="34" spans="2:6" ht="20.149999999999999" customHeight="1" x14ac:dyDescent="0.35">
      <c r="B34" s="458"/>
      <c r="C34" s="459"/>
      <c r="D34" s="459"/>
      <c r="E34" s="459"/>
      <c r="F34" s="459"/>
    </row>
    <row r="35" spans="2:6" ht="20.149999999999999" customHeight="1" x14ac:dyDescent="0.35">
      <c r="B35" s="458"/>
      <c r="C35" s="459"/>
      <c r="D35" s="459"/>
      <c r="E35" s="459"/>
      <c r="F35" s="459"/>
    </row>
    <row r="36" spans="2:6" ht="20.149999999999999" customHeight="1" x14ac:dyDescent="0.35">
      <c r="B36" s="458"/>
      <c r="C36" s="459"/>
      <c r="D36" s="459"/>
      <c r="E36" s="459"/>
      <c r="F36" s="459"/>
    </row>
    <row r="37" spans="2:6" ht="20.149999999999999" customHeight="1" x14ac:dyDescent="0.35">
      <c r="B37" s="458"/>
      <c r="C37" s="459"/>
      <c r="D37" s="459"/>
      <c r="E37" s="459"/>
      <c r="F37" s="459"/>
    </row>
    <row r="38" spans="2:6" ht="20.149999999999999" customHeight="1" x14ac:dyDescent="0.35">
      <c r="B38" s="458"/>
      <c r="C38" s="459"/>
      <c r="D38" s="459"/>
      <c r="E38" s="459"/>
      <c r="F38" s="459"/>
    </row>
    <row r="39" spans="2:6" ht="20.149999999999999" customHeight="1" x14ac:dyDescent="0.35">
      <c r="B39" s="458"/>
      <c r="C39" s="459"/>
      <c r="D39" s="459"/>
      <c r="E39" s="459"/>
      <c r="F39" s="459"/>
    </row>
  </sheetData>
  <sheetProtection sheet="1" objects="1" scenarios="1"/>
  <mergeCells count="16">
    <mergeCell ref="B39:F39"/>
    <mergeCell ref="B35:F35"/>
    <mergeCell ref="B36:F36"/>
    <mergeCell ref="B37:F37"/>
    <mergeCell ref="B38:F38"/>
    <mergeCell ref="B1:F1"/>
    <mergeCell ref="B34:F34"/>
    <mergeCell ref="B29:F29"/>
    <mergeCell ref="B30:F30"/>
    <mergeCell ref="B31:F31"/>
    <mergeCell ref="B32:F32"/>
    <mergeCell ref="B33:F33"/>
    <mergeCell ref="B2:F2"/>
    <mergeCell ref="B27:F27"/>
    <mergeCell ref="B28:F28"/>
    <mergeCell ref="B5:E5"/>
  </mergeCells>
  <pageMargins left="0.7" right="0.45" top="0.75" bottom="0.75" header="0.3" footer="0.3"/>
  <pageSetup orientation="portrait" r:id="rId1"/>
  <headerFooter>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CA6C-BFDA-41BC-82F7-8208F4A4C05A}">
  <sheetPr>
    <pageSetUpPr fitToPage="1"/>
  </sheetPr>
  <dimension ref="B2:B11"/>
  <sheetViews>
    <sheetView workbookViewId="0">
      <selection activeCell="D4" sqref="D4"/>
    </sheetView>
  </sheetViews>
  <sheetFormatPr defaultRowHeight="12.45" x14ac:dyDescent="0.3"/>
  <cols>
    <col min="1" max="1" width="2.61328125" customWidth="1"/>
    <col min="2" max="2" width="86.765625" customWidth="1"/>
  </cols>
  <sheetData>
    <row r="2" spans="2:2" ht="15.45" x14ac:dyDescent="0.4">
      <c r="B2" s="235" t="s">
        <v>282</v>
      </c>
    </row>
    <row r="4" spans="2:2" ht="50.15" customHeight="1" x14ac:dyDescent="0.35">
      <c r="B4" s="342" t="s">
        <v>334</v>
      </c>
    </row>
    <row r="6" spans="2:2" ht="90" customHeight="1" x14ac:dyDescent="0.35">
      <c r="B6" s="342" t="s">
        <v>331</v>
      </c>
    </row>
    <row r="8" spans="2:2" ht="70.099999999999994" customHeight="1" x14ac:dyDescent="0.3">
      <c r="B8" s="294" t="s">
        <v>332</v>
      </c>
    </row>
    <row r="9" spans="2:2" ht="15.65" customHeight="1" x14ac:dyDescent="0.3">
      <c r="B9" s="294"/>
    </row>
    <row r="10" spans="2:2" ht="125.15" customHeight="1" x14ac:dyDescent="0.3">
      <c r="B10" s="295" t="s">
        <v>333</v>
      </c>
    </row>
    <row r="11" spans="2:2" ht="90.45" x14ac:dyDescent="0.3">
      <c r="B11" s="343" t="s">
        <v>335</v>
      </c>
    </row>
  </sheetData>
  <sheetProtection sheet="1" objects="1" scenarios="1"/>
  <pageMargins left="0.95" right="0.45" top="0.75" bottom="0.75" header="0.3" footer="0.3"/>
  <pageSetup orientation="portrait" horizontalDpi="4294967295" verticalDpi="4294967295"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0"/>
  <sheetViews>
    <sheetView topLeftCell="A11" zoomScale="96" zoomScaleNormal="96" workbookViewId="0">
      <selection activeCell="B37" sqref="B37"/>
    </sheetView>
  </sheetViews>
  <sheetFormatPr defaultRowHeight="12.45" x14ac:dyDescent="0.3"/>
  <cols>
    <col min="1" max="1" width="4.4609375" customWidth="1"/>
    <col min="2" max="2" width="46.84375" customWidth="1"/>
    <col min="3" max="3" width="16.4609375" customWidth="1"/>
    <col min="4" max="4" width="15.07421875" customWidth="1"/>
    <col min="5" max="5" width="14.07421875" customWidth="1"/>
    <col min="6" max="6" width="15" customWidth="1"/>
    <col min="7" max="7" width="16.84375" customWidth="1"/>
    <col min="8" max="8" width="13.53515625" customWidth="1"/>
    <col min="9" max="9" width="13.4609375" customWidth="1"/>
    <col min="10" max="10" width="13" customWidth="1"/>
    <col min="11" max="11" width="13.84375" customWidth="1"/>
    <col min="12" max="12" width="11.69140625" bestFit="1" customWidth="1"/>
    <col min="13" max="13" width="11.23046875" customWidth="1"/>
    <col min="14" max="14" width="14.84375" customWidth="1"/>
    <col min="15" max="15" width="9.84375" customWidth="1"/>
    <col min="16" max="16" width="11.84375" customWidth="1"/>
    <col min="17" max="17" width="10.3046875" customWidth="1"/>
    <col min="18" max="18" width="10.69140625" bestFit="1" customWidth="1"/>
    <col min="21" max="21" width="11.53515625" bestFit="1" customWidth="1"/>
    <col min="22" max="22" width="9" bestFit="1" customWidth="1"/>
    <col min="23" max="23" width="15.07421875" bestFit="1" customWidth="1"/>
  </cols>
  <sheetData>
    <row r="1" spans="2:12" ht="15.45" x14ac:dyDescent="0.4">
      <c r="B1" s="456" t="s">
        <v>197</v>
      </c>
      <c r="C1" s="457"/>
      <c r="D1" s="457"/>
      <c r="E1" s="457"/>
      <c r="F1" s="457"/>
      <c r="G1" s="457"/>
    </row>
    <row r="2" spans="2:12" ht="15.45" x14ac:dyDescent="0.4">
      <c r="B2" s="288"/>
      <c r="C2" s="289"/>
      <c r="D2" s="230"/>
      <c r="E2" s="230"/>
      <c r="F2" s="230"/>
      <c r="G2" s="230"/>
    </row>
    <row r="3" spans="2:12" ht="15.45" x14ac:dyDescent="0.4">
      <c r="B3" s="46" t="s">
        <v>72</v>
      </c>
      <c r="C3" s="469" t="s">
        <v>401</v>
      </c>
      <c r="D3" s="470"/>
      <c r="E3" s="470"/>
      <c r="F3" s="471"/>
      <c r="G3" s="290"/>
    </row>
    <row r="4" spans="2:12" ht="15.45" x14ac:dyDescent="0.4">
      <c r="B4" s="288"/>
      <c r="C4" s="289"/>
      <c r="D4" s="289"/>
      <c r="E4" s="289"/>
      <c r="F4" s="290"/>
      <c r="G4" s="290"/>
      <c r="I4" s="305">
        <f>F74</f>
        <v>0.13065380593617254</v>
      </c>
      <c r="J4" s="3" t="s">
        <v>99</v>
      </c>
    </row>
    <row r="5" spans="2:12" ht="15.45" x14ac:dyDescent="0.4">
      <c r="B5" s="2" t="s">
        <v>153</v>
      </c>
      <c r="E5" s="239">
        <v>1</v>
      </c>
      <c r="F5" s="138" t="str">
        <f>IF(E5=1,"Conventional AI","Natural Service")</f>
        <v>Conventional AI</v>
      </c>
      <c r="G5" s="139"/>
      <c r="I5" t="s">
        <v>111</v>
      </c>
      <c r="K5" s="183">
        <f>C19*0.01</f>
        <v>5.5000000000000005E-3</v>
      </c>
      <c r="L5" t="s">
        <v>159</v>
      </c>
    </row>
    <row r="6" spans="2:12" ht="15.45" x14ac:dyDescent="0.4">
      <c r="B6" s="279" t="s">
        <v>390</v>
      </c>
      <c r="E6" s="239">
        <v>1</v>
      </c>
      <c r="F6" s="138" t="str">
        <f>IF(E5=2," ",IF(E6=1,"Heat Detection AI","Timed AI"))</f>
        <v>Heat Detection AI</v>
      </c>
      <c r="G6" s="139"/>
      <c r="K6" s="183"/>
    </row>
    <row r="7" spans="2:12" ht="15.45" x14ac:dyDescent="0.4">
      <c r="B7" s="2"/>
      <c r="C7" s="2"/>
      <c r="D7" s="3" t="s">
        <v>129</v>
      </c>
      <c r="E7" s="52" t="s">
        <v>130</v>
      </c>
      <c r="G7" s="3"/>
      <c r="I7" t="s">
        <v>111</v>
      </c>
      <c r="K7" s="35">
        <f>D19</f>
        <v>88</v>
      </c>
      <c r="L7" t="s">
        <v>77</v>
      </c>
    </row>
    <row r="8" spans="2:12" ht="15.45" x14ac:dyDescent="0.4">
      <c r="B8" s="2" t="s">
        <v>65</v>
      </c>
      <c r="C8" s="203">
        <f>'1. Dates&amp;Descripitions'!C7</f>
        <v>43753</v>
      </c>
      <c r="D8" s="44">
        <v>100</v>
      </c>
      <c r="E8" s="203">
        <f>'1. Dates&amp;Descripitions'!C8</f>
        <v>43525</v>
      </c>
      <c r="F8" s="2"/>
      <c r="G8" s="2"/>
      <c r="I8" s="167">
        <f>E8</f>
        <v>43525</v>
      </c>
      <c r="J8" s="52" t="s">
        <v>130</v>
      </c>
    </row>
    <row r="9" spans="2:12" ht="15.45" x14ac:dyDescent="0.4">
      <c r="B9" s="2" t="s">
        <v>268</v>
      </c>
      <c r="C9" s="33" t="s">
        <v>16</v>
      </c>
      <c r="D9" s="34" t="s">
        <v>17</v>
      </c>
      <c r="E9" s="34" t="s">
        <v>1</v>
      </c>
      <c r="F9" s="34" t="s">
        <v>193</v>
      </c>
      <c r="G9" s="3" t="s">
        <v>24</v>
      </c>
      <c r="H9" s="132" t="s">
        <v>1</v>
      </c>
      <c r="I9" s="35">
        <f>(('1. Dates&amp;Descripitions'!C9-E8)/(365/12))</f>
        <v>7.4958904109589035</v>
      </c>
      <c r="J9" t="s">
        <v>58</v>
      </c>
    </row>
    <row r="10" spans="2:12" ht="15.45" x14ac:dyDescent="0.4">
      <c r="B10" s="2" t="s">
        <v>269</v>
      </c>
      <c r="C10" s="221">
        <v>500</v>
      </c>
      <c r="D10" s="218">
        <v>150</v>
      </c>
      <c r="E10" s="5">
        <f>C10*D10*0.01</f>
        <v>750</v>
      </c>
      <c r="F10" s="219">
        <v>0</v>
      </c>
      <c r="G10" s="16">
        <f>IF(C10=0,0,(D8*E10+D8*F10))</f>
        <v>75000</v>
      </c>
      <c r="H10" s="16">
        <f>G10/D8</f>
        <v>750</v>
      </c>
      <c r="I10" s="35">
        <f>((C26-E8)/(365/12))</f>
        <v>14.038356164383561</v>
      </c>
      <c r="J10" t="s">
        <v>59</v>
      </c>
      <c r="K10" s="1">
        <f>IF(C10=0,C11,C10)</f>
        <v>500</v>
      </c>
      <c r="L10" s="178" t="s">
        <v>16</v>
      </c>
    </row>
    <row r="11" spans="2:12" ht="15.45" x14ac:dyDescent="0.4">
      <c r="B11" s="2" t="s">
        <v>270</v>
      </c>
      <c r="C11" s="221">
        <v>0</v>
      </c>
      <c r="D11" s="271"/>
      <c r="E11" s="218">
        <v>0</v>
      </c>
      <c r="F11" s="219">
        <v>0</v>
      </c>
      <c r="G11" s="16">
        <f>(E11+F11)*D8</f>
        <v>0</v>
      </c>
      <c r="I11" s="273" t="str">
        <f>IF(AND($C$10&lt;=0,$C$11&lt;=0),"Error - Enter one weight."," ")</f>
        <v xml:space="preserve"> </v>
      </c>
    </row>
    <row r="12" spans="2:12" ht="15.45" x14ac:dyDescent="0.4">
      <c r="B12" s="4"/>
      <c r="C12" s="2"/>
      <c r="D12" s="36" t="s">
        <v>18</v>
      </c>
      <c r="E12" s="56" t="s">
        <v>21</v>
      </c>
      <c r="F12" s="220" t="s">
        <v>194</v>
      </c>
      <c r="G12" s="67">
        <f>(G10+G11)/(C11*D8+C10*D8)*100</f>
        <v>150</v>
      </c>
      <c r="I12" s="48">
        <f>G12*C10*D8*0.01+G11</f>
        <v>75000</v>
      </c>
      <c r="J12" s="1" t="s">
        <v>51</v>
      </c>
      <c r="K12" s="1"/>
    </row>
    <row r="13" spans="2:12" ht="15.45" x14ac:dyDescent="0.4">
      <c r="B13" s="4" t="s">
        <v>19</v>
      </c>
      <c r="C13" s="204">
        <f>'1. Dates&amp;Descripitions'!C11</f>
        <v>43876</v>
      </c>
      <c r="D13" s="276">
        <v>3</v>
      </c>
      <c r="E13" s="335">
        <f>D8*D13*0.01</f>
        <v>3</v>
      </c>
      <c r="F13" s="2"/>
      <c r="G13" s="2"/>
      <c r="H13" s="17"/>
      <c r="I13" s="35">
        <f>((C29-E8)/(365/12))</f>
        <v>17.490410958904111</v>
      </c>
      <c r="J13" t="s">
        <v>61</v>
      </c>
    </row>
    <row r="14" spans="2:12" ht="15.45" x14ac:dyDescent="0.4">
      <c r="B14" s="2"/>
      <c r="C14" s="33" t="s">
        <v>16</v>
      </c>
      <c r="D14" s="34" t="s">
        <v>17</v>
      </c>
      <c r="E14" s="34" t="s">
        <v>1</v>
      </c>
      <c r="F14" s="46" t="s">
        <v>52</v>
      </c>
      <c r="G14" s="2"/>
      <c r="I14" s="35">
        <f>((C31-E8)/(365/12))</f>
        <v>23.342465753424655</v>
      </c>
      <c r="J14" t="s">
        <v>60</v>
      </c>
    </row>
    <row r="15" spans="2:12" ht="15.45" x14ac:dyDescent="0.4">
      <c r="B15" s="2" t="s">
        <v>20</v>
      </c>
      <c r="C15" s="23">
        <v>700</v>
      </c>
      <c r="D15" s="62">
        <v>130</v>
      </c>
      <c r="E15" s="16">
        <f>C15*D15*0.01</f>
        <v>910</v>
      </c>
      <c r="F15" s="16">
        <f>E15*E13</f>
        <v>2730</v>
      </c>
      <c r="G15" s="2"/>
      <c r="I15">
        <f>E13</f>
        <v>3</v>
      </c>
      <c r="J15" t="s">
        <v>133</v>
      </c>
    </row>
    <row r="16" spans="2:12" ht="15.45" x14ac:dyDescent="0.4">
      <c r="B16" s="2" t="s">
        <v>4</v>
      </c>
      <c r="C16" s="43">
        <v>1</v>
      </c>
      <c r="D16" t="s">
        <v>6</v>
      </c>
      <c r="E16" s="275">
        <f>C16*D8*0.01</f>
        <v>1</v>
      </c>
      <c r="F16" s="16" t="s">
        <v>21</v>
      </c>
      <c r="G16" s="2"/>
      <c r="I16" s="38">
        <f>(C15*E13+C22*E20+E19*C30)</f>
        <v>88500</v>
      </c>
      <c r="J16" t="s">
        <v>46</v>
      </c>
    </row>
    <row r="17" spans="2:14" ht="15.45" x14ac:dyDescent="0.4">
      <c r="B17" s="3" t="s">
        <v>22</v>
      </c>
      <c r="C17" s="335">
        <f>D8-E13-E16</f>
        <v>96</v>
      </c>
      <c r="G17" s="22" t="s">
        <v>470</v>
      </c>
      <c r="I17" s="38">
        <f>(C10+C11)*D8</f>
        <v>50000</v>
      </c>
      <c r="J17" t="s">
        <v>47</v>
      </c>
    </row>
    <row r="18" spans="2:14" ht="15" x14ac:dyDescent="0.35">
      <c r="B18" s="116" t="s">
        <v>475</v>
      </c>
      <c r="C18" s="2" t="str">
        <f>F5</f>
        <v>Conventional AI</v>
      </c>
      <c r="D18" s="178" t="s">
        <v>323</v>
      </c>
      <c r="E18" s="2" t="s">
        <v>471</v>
      </c>
      <c r="G18" s="22" t="s">
        <v>425</v>
      </c>
      <c r="I18" s="39">
        <f>I16-I17</f>
        <v>38500</v>
      </c>
      <c r="J18" t="s">
        <v>48</v>
      </c>
    </row>
    <row r="19" spans="2:14" ht="15.45" x14ac:dyDescent="0.4">
      <c r="B19" s="3" t="s">
        <v>29</v>
      </c>
      <c r="C19" s="114">
        <f>IF('2.WeanedCalf to Sell Bred Heif '!E6=1,'4.Conventional AI BreedingCost'!D10,'4.Conventional AI BreedingCost'!D56)*0.01</f>
        <v>0.55000000000000004</v>
      </c>
      <c r="D19" s="417">
        <f>'4.Conventional AI BreedingCost'!D9</f>
        <v>88</v>
      </c>
      <c r="E19" s="37">
        <f>IF(E5=1,(C17*D19*0.01),(C17*D19*0.01))</f>
        <v>84.48</v>
      </c>
      <c r="F19" s="416"/>
      <c r="G19" s="44">
        <v>85</v>
      </c>
      <c r="I19" s="54">
        <f>I18/J30</f>
        <v>1.3039249156004964</v>
      </c>
      <c r="J19" t="s">
        <v>49</v>
      </c>
    </row>
    <row r="20" spans="2:14" ht="15.45" x14ac:dyDescent="0.4">
      <c r="B20" s="2" t="s">
        <v>192</v>
      </c>
      <c r="C20" s="203">
        <f>'1. Dates&amp;Descripitions'!C19</f>
        <v>44044</v>
      </c>
      <c r="D20" s="2" t="s">
        <v>97</v>
      </c>
      <c r="E20" s="37">
        <f>C17-E19</f>
        <v>11.519999999999996</v>
      </c>
      <c r="F20" s="2"/>
      <c r="G20" s="2"/>
    </row>
    <row r="21" spans="2:14" ht="15.45" x14ac:dyDescent="0.4">
      <c r="B21" s="2"/>
      <c r="C21" s="33" t="s">
        <v>16</v>
      </c>
      <c r="D21" s="34" t="s">
        <v>17</v>
      </c>
      <c r="E21" s="34" t="s">
        <v>1</v>
      </c>
      <c r="F21" s="3" t="s">
        <v>426</v>
      </c>
      <c r="G21" s="2"/>
      <c r="I21" s="272">
        <f>J35+C38</f>
        <v>52.800000000000004</v>
      </c>
      <c r="J21" s="1" t="s">
        <v>267</v>
      </c>
    </row>
    <row r="22" spans="2:14" ht="15" x14ac:dyDescent="0.35">
      <c r="B22" s="2" t="s">
        <v>30</v>
      </c>
      <c r="C22" s="175">
        <v>900</v>
      </c>
      <c r="D22" s="42">
        <v>100</v>
      </c>
      <c r="E22" s="40">
        <f>C22*D22*0.01</f>
        <v>900</v>
      </c>
      <c r="F22" s="40">
        <f>E20*E22</f>
        <v>10367.999999999996</v>
      </c>
      <c r="I22" s="59">
        <f>($C17-$E19)</f>
        <v>11.519999999999996</v>
      </c>
      <c r="J22" s="21" t="s">
        <v>23</v>
      </c>
    </row>
    <row r="23" spans="2:14" ht="15.45" x14ac:dyDescent="0.4">
      <c r="B23" s="2" t="s">
        <v>56</v>
      </c>
      <c r="C23" s="115"/>
      <c r="D23" s="63" t="str">
        <f>IF(C3=1,"AI Bred","Natural Bred")</f>
        <v>Natural Bred</v>
      </c>
      <c r="E23" s="45">
        <v>1450</v>
      </c>
      <c r="F23" s="40"/>
      <c r="G23" s="1" t="str">
        <f>IF(F23&gt;0,"&lt;------"," ")</f>
        <v xml:space="preserve"> </v>
      </c>
      <c r="I23" s="59"/>
      <c r="J23" s="21"/>
    </row>
    <row r="24" spans="2:14" ht="15.45" x14ac:dyDescent="0.4">
      <c r="B24" s="2" t="s">
        <v>56</v>
      </c>
      <c r="C24" s="14"/>
      <c r="D24" s="63" t="str">
        <f>IF(E5=1,"AI Bred"," ")</f>
        <v>AI Bred</v>
      </c>
      <c r="E24" s="45">
        <v>1600</v>
      </c>
      <c r="F24" s="40"/>
      <c r="G24" s="1" t="str">
        <f>IF(F24&gt;0,"&lt;-------"," ")</f>
        <v xml:space="preserve"> </v>
      </c>
      <c r="I24" s="60">
        <f>D88</f>
        <v>85.092016202262386</v>
      </c>
      <c r="J24" t="s">
        <v>55</v>
      </c>
    </row>
    <row r="25" spans="2:14" ht="15.45" x14ac:dyDescent="0.4">
      <c r="B25" s="3" t="s">
        <v>152</v>
      </c>
      <c r="E25" s="16">
        <f>E24-E23</f>
        <v>150</v>
      </c>
      <c r="F25" s="52"/>
    </row>
    <row r="26" spans="2:14" ht="15" x14ac:dyDescent="0.35">
      <c r="B26" s="2" t="s">
        <v>66</v>
      </c>
      <c r="C26" s="203">
        <f>'1. Dates&amp;Descripitions'!C13</f>
        <v>43952</v>
      </c>
      <c r="D26" s="35">
        <f>I10</f>
        <v>14.038356164383561</v>
      </c>
      <c r="E26" s="21" t="s">
        <v>64</v>
      </c>
      <c r="F26" s="2"/>
      <c r="G26" s="2"/>
      <c r="I26" t="s">
        <v>25</v>
      </c>
      <c r="J26" t="s">
        <v>28</v>
      </c>
    </row>
    <row r="27" spans="2:14" ht="15" x14ac:dyDescent="0.35">
      <c r="B27" s="2" t="s">
        <v>70</v>
      </c>
      <c r="C27" s="182">
        <f>'1. Dates&amp;Descripitions'!C14</f>
        <v>60</v>
      </c>
      <c r="E27" s="2"/>
      <c r="F27" s="2"/>
      <c r="G27" s="2"/>
      <c r="I27" s="35">
        <f>C13-C8</f>
        <v>123</v>
      </c>
      <c r="J27" s="38">
        <f>I27*D8</f>
        <v>12300</v>
      </c>
      <c r="K27" t="s">
        <v>26</v>
      </c>
    </row>
    <row r="28" spans="2:14" ht="15" x14ac:dyDescent="0.35">
      <c r="B28" s="2" t="s">
        <v>2</v>
      </c>
      <c r="C28" s="182">
        <f>'1. Dates&amp;Descripitions'!C17</f>
        <v>45</v>
      </c>
      <c r="E28" s="2"/>
      <c r="F28" s="2"/>
      <c r="G28" s="2"/>
      <c r="I28">
        <f>C20-C13</f>
        <v>168</v>
      </c>
      <c r="J28" s="38">
        <f>I28*C17</f>
        <v>16128</v>
      </c>
      <c r="K28" t="s">
        <v>132</v>
      </c>
    </row>
    <row r="29" spans="2:14" ht="15" x14ac:dyDescent="0.35">
      <c r="B29" s="2" t="s">
        <v>57</v>
      </c>
      <c r="C29" s="18">
        <f>C26+C27+C28</f>
        <v>44057</v>
      </c>
      <c r="D29" s="32">
        <f>I13</f>
        <v>17.490410958904111</v>
      </c>
      <c r="E29" s="21" t="s">
        <v>62</v>
      </c>
      <c r="F29" s="2"/>
      <c r="G29" s="2"/>
      <c r="I29" s="35">
        <f>C29-C20</f>
        <v>13</v>
      </c>
      <c r="J29" s="38">
        <f>I29*E19</f>
        <v>1098.24</v>
      </c>
      <c r="K29" t="s">
        <v>27</v>
      </c>
    </row>
    <row r="30" spans="2:14" ht="15" x14ac:dyDescent="0.35">
      <c r="B30" s="2" t="s">
        <v>69</v>
      </c>
      <c r="C30" s="175">
        <v>900</v>
      </c>
      <c r="D30" s="32">
        <f>I14</f>
        <v>23.342465753424655</v>
      </c>
      <c r="E30" s="21" t="s">
        <v>63</v>
      </c>
      <c r="F30" s="2"/>
      <c r="G30" s="2"/>
      <c r="I30" s="389">
        <f>I27+I28+I29</f>
        <v>304</v>
      </c>
      <c r="J30" s="391">
        <f>J27+J28+J29</f>
        <v>29526.240000000002</v>
      </c>
      <c r="K30" t="s">
        <v>316</v>
      </c>
    </row>
    <row r="31" spans="2:14" ht="15" x14ac:dyDescent="0.35">
      <c r="B31" s="2" t="s">
        <v>0</v>
      </c>
      <c r="C31" s="8">
        <f>C26+283</f>
        <v>44235</v>
      </c>
      <c r="D31" s="2"/>
      <c r="E31" s="2"/>
      <c r="F31" s="7"/>
      <c r="G31" s="2"/>
      <c r="I31" s="35"/>
      <c r="J31" s="388">
        <f>J30/(E19+E20+E13)</f>
        <v>298.24484848484849</v>
      </c>
      <c r="K31" s="21" t="s">
        <v>253</v>
      </c>
      <c r="N31" s="35"/>
    </row>
    <row r="32" spans="2:14" ht="15" x14ac:dyDescent="0.35">
      <c r="B32" s="2"/>
      <c r="C32" s="8"/>
      <c r="D32" s="2"/>
      <c r="E32" s="2"/>
      <c r="F32" s="7"/>
      <c r="G32" s="1" t="s">
        <v>265</v>
      </c>
    </row>
    <row r="33" spans="2:15" ht="15.45" x14ac:dyDescent="0.4">
      <c r="B33" s="3" t="s">
        <v>52</v>
      </c>
      <c r="C33" s="46" t="s">
        <v>21</v>
      </c>
      <c r="D33" s="46" t="s">
        <v>1</v>
      </c>
      <c r="E33" s="76" t="s">
        <v>41</v>
      </c>
      <c r="F33" s="46" t="s">
        <v>80</v>
      </c>
      <c r="G33" s="195" t="s">
        <v>186</v>
      </c>
      <c r="J33" s="3" t="s">
        <v>472</v>
      </c>
    </row>
    <row r="34" spans="2:15" ht="15" x14ac:dyDescent="0.35">
      <c r="B34" s="2" t="s">
        <v>116</v>
      </c>
      <c r="C34" s="133">
        <f>E13</f>
        <v>3</v>
      </c>
      <c r="D34" s="12">
        <f>IF(C34=0,0,F34/C34)</f>
        <v>910</v>
      </c>
      <c r="E34" s="12">
        <f>D15</f>
        <v>130</v>
      </c>
      <c r="F34" s="12">
        <f>F15</f>
        <v>2730</v>
      </c>
      <c r="G34" s="266">
        <f>F34/$F$41</f>
        <v>1.9022534386889084E-2</v>
      </c>
      <c r="J34" s="22" t="s">
        <v>417</v>
      </c>
      <c r="K34" s="22" t="s">
        <v>423</v>
      </c>
      <c r="L34" s="22"/>
      <c r="M34" s="22" t="s">
        <v>424</v>
      </c>
      <c r="N34" s="22" t="s">
        <v>460</v>
      </c>
      <c r="O34" s="279" t="s">
        <v>462</v>
      </c>
    </row>
    <row r="35" spans="2:15" ht="15" x14ac:dyDescent="0.35">
      <c r="B35" s="2" t="s">
        <v>463</v>
      </c>
      <c r="C35" s="133">
        <f>IF(E5=2,0,O35+O36)</f>
        <v>11.519999999999996</v>
      </c>
      <c r="D35" s="12">
        <f>IF(C35=0,0,$E$22)</f>
        <v>900</v>
      </c>
      <c r="E35" s="12">
        <f>D22</f>
        <v>100</v>
      </c>
      <c r="F35" s="12">
        <f>IF(C35=0,0,C35*D35)</f>
        <v>10367.999999999996</v>
      </c>
      <c r="G35" s="266">
        <f>F35/$F$41</f>
        <v>7.2243822902295224E-2</v>
      </c>
      <c r="J35" s="7">
        <f>IF(E5=2,0,IF($E$5=2,0,'4.Conventional AI BreedingCost'!D17))</f>
        <v>52.800000000000004</v>
      </c>
      <c r="K35" s="7">
        <f>IF(F5=2,0,IF($E$5=2,0,'4.Conventional AI BreedingCost'!F17))</f>
        <v>31.68</v>
      </c>
      <c r="L35" s="1" t="s">
        <v>421</v>
      </c>
      <c r="M35" s="7">
        <f>J35+K35</f>
        <v>84.48</v>
      </c>
      <c r="N35" s="7">
        <f>'4.Conventional AI BreedingCost'!I19</f>
        <v>11.519999999999996</v>
      </c>
      <c r="O35" s="7">
        <f>IF($E$6=1,N35,0)</f>
        <v>11.519999999999996</v>
      </c>
    </row>
    <row r="36" spans="2:15" ht="15" x14ac:dyDescent="0.35">
      <c r="B36" s="2" t="s">
        <v>422</v>
      </c>
      <c r="C36" s="7">
        <f>IF(E6=1,J35,J36)</f>
        <v>52.800000000000004</v>
      </c>
      <c r="D36" s="12">
        <f>E24</f>
        <v>1600</v>
      </c>
      <c r="F36" s="12">
        <f>C36*D36</f>
        <v>84480</v>
      </c>
      <c r="G36" s="266">
        <f>F36/$F$41</f>
        <v>0.58865337179647981</v>
      </c>
      <c r="J36" s="7">
        <f>IF(E5=2,0,'4.Conventional AI BreedingCost'!D63)</f>
        <v>52.800000000000004</v>
      </c>
      <c r="K36" s="7">
        <f>IF(E5=2,0,'4.Conventional AI BreedingCost'!F63)</f>
        <v>31.68</v>
      </c>
      <c r="L36" s="1" t="s">
        <v>420</v>
      </c>
      <c r="M36" s="7">
        <f t="shared" ref="M36" si="0">J36+K36</f>
        <v>84.48</v>
      </c>
      <c r="N36" s="7">
        <f>'4.Conventional AI BreedingCost'!I65</f>
        <v>11.519999999999996</v>
      </c>
      <c r="O36" s="7">
        <f>IF($E$6=2,N36,0)</f>
        <v>0</v>
      </c>
    </row>
    <row r="37" spans="2:15" ht="15" x14ac:dyDescent="0.35">
      <c r="B37" s="2" t="s">
        <v>529</v>
      </c>
      <c r="C37" s="7">
        <f>IF(E5=2,0,IF(E6=1,K35,K36))</f>
        <v>31.68</v>
      </c>
      <c r="D37" s="12">
        <f>E23</f>
        <v>1450</v>
      </c>
      <c r="F37" s="12">
        <f>C37*D37</f>
        <v>45936</v>
      </c>
      <c r="G37" s="266">
        <f>F37/$F$41</f>
        <v>0.32008027091433588</v>
      </c>
      <c r="J37" s="414" t="s">
        <v>425</v>
      </c>
      <c r="K37" s="7"/>
      <c r="L37" s="1"/>
      <c r="M37" s="38"/>
      <c r="N37" s="22" t="s">
        <v>460</v>
      </c>
      <c r="O37" s="173"/>
    </row>
    <row r="38" spans="2:15" ht="15.45" x14ac:dyDescent="0.4">
      <c r="B38" s="2" t="s">
        <v>427</v>
      </c>
      <c r="C38" s="7">
        <f>IF(E5=1,0,'7. Natural Service Cost'!D12)</f>
        <v>0</v>
      </c>
      <c r="D38" s="12">
        <f>IF(C38=0,0,E23)</f>
        <v>0</v>
      </c>
      <c r="F38" s="12">
        <f>C38*D38</f>
        <v>0</v>
      </c>
      <c r="G38" s="266">
        <f>F38/$F$41</f>
        <v>0</v>
      </c>
      <c r="I38" s="283"/>
      <c r="J38" s="7">
        <f>IF(L5=1,0,'7. Natural Service Cost'!D12)</f>
        <v>0</v>
      </c>
      <c r="L38" s="1" t="s">
        <v>77</v>
      </c>
      <c r="M38" s="38"/>
      <c r="N38" s="37">
        <f>'7. Natural Service Cost'!J12</f>
        <v>96</v>
      </c>
      <c r="O38" s="173"/>
    </row>
    <row r="39" spans="2:15" ht="15.45" x14ac:dyDescent="0.4">
      <c r="B39" s="2" t="s">
        <v>117</v>
      </c>
      <c r="C39" s="7">
        <f>IF(E5=2,'7. Natural Service Cost'!J12,0)</f>
        <v>0</v>
      </c>
      <c r="D39" s="12">
        <f>IF(C39=0,0,$E$22)</f>
        <v>0</v>
      </c>
      <c r="E39" s="12">
        <f>IF(C39=0,0,E35)</f>
        <v>0</v>
      </c>
      <c r="F39" s="12">
        <f>IF(C39=0,0,C39*D39)</f>
        <v>0</v>
      </c>
      <c r="G39" s="266"/>
      <c r="I39" s="283"/>
      <c r="J39" s="7"/>
      <c r="M39" s="38"/>
      <c r="N39" s="37"/>
      <c r="O39" s="173"/>
    </row>
    <row r="40" spans="2:15" ht="15" x14ac:dyDescent="0.35">
      <c r="B40" s="2" t="s">
        <v>121</v>
      </c>
      <c r="C40" s="7">
        <f>E19</f>
        <v>84.48</v>
      </c>
      <c r="D40" s="42">
        <v>0</v>
      </c>
      <c r="F40" s="12">
        <f>C40*D40*-1</f>
        <v>0</v>
      </c>
      <c r="G40" s="266">
        <f>F40/$F$41</f>
        <v>0</v>
      </c>
      <c r="I40" s="283"/>
      <c r="K40" s="21"/>
      <c r="L40" s="21"/>
      <c r="M40" s="21"/>
      <c r="N40" s="21"/>
    </row>
    <row r="41" spans="2:15" ht="15.45" x14ac:dyDescent="0.4">
      <c r="B41" s="138" t="s">
        <v>122</v>
      </c>
      <c r="C41" s="166">
        <f>SUM(C34:C39)</f>
        <v>99</v>
      </c>
      <c r="D41" s="149">
        <f>IF(C41=0,0,F41/C41)</f>
        <v>1449.6363636363637</v>
      </c>
      <c r="E41" s="138"/>
      <c r="F41" s="149">
        <f>SUM(F34:F40)</f>
        <v>143514</v>
      </c>
      <c r="G41" s="401"/>
      <c r="H41" s="186"/>
      <c r="J41" s="21"/>
      <c r="K41" s="285"/>
      <c r="L41" s="176"/>
      <c r="M41" s="177"/>
      <c r="N41" s="177"/>
    </row>
    <row r="42" spans="2:15" ht="15" x14ac:dyDescent="0.35">
      <c r="C42" s="8"/>
      <c r="D42" s="7"/>
      <c r="E42" s="2"/>
      <c r="G42" s="2"/>
      <c r="H42" s="1"/>
      <c r="I42" s="282"/>
      <c r="J42" s="189"/>
      <c r="K42" s="284"/>
      <c r="M42" s="51"/>
    </row>
    <row r="43" spans="2:15" ht="15.45" x14ac:dyDescent="0.4">
      <c r="B43" s="3" t="s">
        <v>112</v>
      </c>
      <c r="C43" s="8"/>
      <c r="D43" s="132" t="s">
        <v>118</v>
      </c>
      <c r="F43" s="3" t="s">
        <v>24</v>
      </c>
      <c r="G43" s="2"/>
      <c r="H43" s="195"/>
      <c r="I43" s="282"/>
      <c r="J43" s="190"/>
      <c r="K43" s="284"/>
      <c r="M43" s="51"/>
    </row>
    <row r="44" spans="2:15" ht="15.45" x14ac:dyDescent="0.4">
      <c r="B44" s="139" t="s">
        <v>73</v>
      </c>
      <c r="C44" s="140"/>
      <c r="D44" s="149">
        <f>F44/D8</f>
        <v>750</v>
      </c>
      <c r="E44" s="141"/>
      <c r="F44" s="149">
        <f>G10+G11</f>
        <v>75000</v>
      </c>
      <c r="G44" s="2"/>
      <c r="H44" s="269"/>
      <c r="I44" s="282"/>
      <c r="J44" s="190"/>
      <c r="K44" s="284"/>
      <c r="L44" s="173"/>
      <c r="M44" s="51"/>
    </row>
    <row r="45" spans="2:15" ht="15.45" x14ac:dyDescent="0.4">
      <c r="B45" s="3" t="s">
        <v>119</v>
      </c>
      <c r="C45" s="420" t="s">
        <v>28</v>
      </c>
      <c r="D45" s="158"/>
      <c r="E45" s="157">
        <f>C46/(365/12)</f>
        <v>9.9945205479452053</v>
      </c>
      <c r="F45" s="280" t="s">
        <v>271</v>
      </c>
      <c r="G45" s="2"/>
      <c r="H45" s="6"/>
      <c r="I45" s="1"/>
      <c r="J45" s="193"/>
      <c r="M45" s="49"/>
    </row>
    <row r="46" spans="2:15" ht="15.45" x14ac:dyDescent="0.4">
      <c r="B46" s="2" t="s">
        <v>296</v>
      </c>
      <c r="C46" s="37">
        <f>I30</f>
        <v>304</v>
      </c>
      <c r="D46" s="137" t="s">
        <v>125</v>
      </c>
      <c r="E46" s="344" t="s">
        <v>5</v>
      </c>
      <c r="F46" s="344" t="s">
        <v>101</v>
      </c>
      <c r="G46" s="344" t="s">
        <v>175</v>
      </c>
      <c r="H46" s="6"/>
      <c r="L46" s="52"/>
      <c r="N46" s="179"/>
    </row>
    <row r="47" spans="2:15" ht="15" x14ac:dyDescent="0.35">
      <c r="B47" s="331" t="s">
        <v>314</v>
      </c>
      <c r="C47" s="330">
        <v>45</v>
      </c>
      <c r="D47" s="329">
        <v>1.25</v>
      </c>
      <c r="E47" s="10">
        <f>(365/12)*D47</f>
        <v>38.020833333333336</v>
      </c>
      <c r="F47" s="306">
        <f>C47*D47*$D$8</f>
        <v>5625</v>
      </c>
      <c r="G47" s="2"/>
      <c r="I47" s="172"/>
      <c r="J47" s="1"/>
      <c r="K47" s="52"/>
      <c r="N47" s="49"/>
    </row>
    <row r="48" spans="2:15" ht="15" x14ac:dyDescent="0.35">
      <c r="B48" s="331" t="s">
        <v>315</v>
      </c>
      <c r="C48" s="330">
        <v>259</v>
      </c>
      <c r="D48" s="329">
        <v>1</v>
      </c>
      <c r="E48" s="10">
        <f>(365/12)*D48</f>
        <v>30.416666666666668</v>
      </c>
      <c r="F48" s="306">
        <f t="shared" ref="F48:F50" si="1">C48*D48*$D$8</f>
        <v>25900</v>
      </c>
      <c r="G48" s="2"/>
      <c r="I48" s="172"/>
      <c r="J48" s="1"/>
      <c r="K48" s="52"/>
      <c r="N48" s="49"/>
    </row>
    <row r="49" spans="2:18" ht="15.45" x14ac:dyDescent="0.4">
      <c r="B49" s="228" t="s">
        <v>92</v>
      </c>
      <c r="C49" s="286">
        <v>0</v>
      </c>
      <c r="D49" s="9">
        <v>0</v>
      </c>
      <c r="E49" s="10">
        <f t="shared" ref="E49:E50" si="2">(365/12)*D49</f>
        <v>0</v>
      </c>
      <c r="F49" s="306">
        <f t="shared" si="1"/>
        <v>0</v>
      </c>
      <c r="G49" s="22" t="s">
        <v>337</v>
      </c>
      <c r="H49" s="3" t="s">
        <v>336</v>
      </c>
      <c r="I49" s="172"/>
      <c r="J49" s="1"/>
      <c r="K49" s="52"/>
      <c r="N49" s="49"/>
    </row>
    <row r="50" spans="2:18" ht="15.45" x14ac:dyDescent="0.4">
      <c r="B50" s="228" t="s">
        <v>92</v>
      </c>
      <c r="C50" s="287">
        <v>0</v>
      </c>
      <c r="D50" s="9">
        <v>0</v>
      </c>
      <c r="E50" s="10">
        <f t="shared" si="2"/>
        <v>0</v>
      </c>
      <c r="F50" s="306">
        <f t="shared" si="1"/>
        <v>0</v>
      </c>
      <c r="G50" s="37">
        <f>C17</f>
        <v>96</v>
      </c>
      <c r="H50" s="37">
        <f>C81</f>
        <v>84.48</v>
      </c>
    </row>
    <row r="51" spans="2:18" ht="15.45" x14ac:dyDescent="0.4">
      <c r="B51" s="3" t="s">
        <v>276</v>
      </c>
      <c r="C51" s="292">
        <f>SUM(C47:C50)</f>
        <v>304</v>
      </c>
      <c r="D51" s="267" t="s">
        <v>118</v>
      </c>
      <c r="E51" s="10"/>
      <c r="F51" s="178"/>
      <c r="G51" s="1" t="s">
        <v>264</v>
      </c>
      <c r="H51" s="1" t="s">
        <v>176</v>
      </c>
      <c r="J51" s="51">
        <f>IF(C51=0,0,D52/C51)</f>
        <v>1.0370065789473684</v>
      </c>
      <c r="K51" t="s">
        <v>528</v>
      </c>
    </row>
    <row r="52" spans="2:18" ht="15.45" x14ac:dyDescent="0.4">
      <c r="B52" s="3" t="s">
        <v>68</v>
      </c>
      <c r="C52" s="53" t="s">
        <v>21</v>
      </c>
      <c r="D52" s="67">
        <f>F52/D8</f>
        <v>315.25</v>
      </c>
      <c r="E52" s="120"/>
      <c r="F52" s="312">
        <f>SUM(F47:F50)</f>
        <v>31525</v>
      </c>
      <c r="G52" s="10">
        <f t="shared" ref="G52:G64" si="3">F52/$C$81</f>
        <v>373.16524621212119</v>
      </c>
      <c r="H52" s="266">
        <f t="shared" ref="H52:H64" si="4">F52/$F$70</f>
        <v>0.23124813041866657</v>
      </c>
      <c r="I52" s="6" t="s">
        <v>10</v>
      </c>
      <c r="J52" s="6" t="s">
        <v>9</v>
      </c>
    </row>
    <row r="53" spans="2:18" ht="15.45" x14ac:dyDescent="0.4">
      <c r="B53" s="2" t="s">
        <v>135</v>
      </c>
      <c r="C53" s="197">
        <f>+D8</f>
        <v>100</v>
      </c>
      <c r="D53" s="181">
        <v>12</v>
      </c>
      <c r="E53" s="2"/>
      <c r="F53" s="24">
        <f>D53*$D$8</f>
        <v>1200</v>
      </c>
      <c r="G53" s="10">
        <f t="shared" si="3"/>
        <v>14.204545454545453</v>
      </c>
      <c r="H53" s="266">
        <f t="shared" si="4"/>
        <v>8.8024665028517014E-3</v>
      </c>
      <c r="I53" s="6" t="s">
        <v>11</v>
      </c>
      <c r="J53" s="6" t="s">
        <v>12</v>
      </c>
    </row>
    <row r="54" spans="2:18" ht="15.45" x14ac:dyDescent="0.4">
      <c r="B54" s="15" t="s">
        <v>327</v>
      </c>
      <c r="C54" s="199">
        <v>0</v>
      </c>
      <c r="D54" s="181">
        <v>0</v>
      </c>
      <c r="E54" s="2"/>
      <c r="F54" s="24">
        <f>D54*C54</f>
        <v>0</v>
      </c>
      <c r="G54" s="10">
        <f t="shared" si="3"/>
        <v>0</v>
      </c>
      <c r="H54" s="266">
        <f t="shared" si="4"/>
        <v>0</v>
      </c>
      <c r="I54" s="117">
        <f>C30-C10</f>
        <v>400</v>
      </c>
      <c r="J54" s="5">
        <f>D52/I54</f>
        <v>0.78812499999999996</v>
      </c>
      <c r="K54" t="s">
        <v>32</v>
      </c>
    </row>
    <row r="55" spans="2:18" ht="15.45" x14ac:dyDescent="0.4">
      <c r="B55" s="15" t="s">
        <v>327</v>
      </c>
      <c r="C55" s="199">
        <v>0</v>
      </c>
      <c r="D55" s="181">
        <v>0</v>
      </c>
      <c r="E55" s="198" t="s">
        <v>160</v>
      </c>
      <c r="F55" s="24">
        <f>D55*C55</f>
        <v>0</v>
      </c>
      <c r="G55" s="10">
        <f t="shared" si="3"/>
        <v>0</v>
      </c>
      <c r="H55" s="266">
        <f t="shared" si="4"/>
        <v>0</v>
      </c>
      <c r="I55" s="2"/>
      <c r="J55" s="5">
        <f>(D70-E58-E56)/I54</f>
        <v>3.1611564951141546</v>
      </c>
      <c r="K55" t="s">
        <v>103</v>
      </c>
    </row>
    <row r="56" spans="2:18" ht="15.45" x14ac:dyDescent="0.4">
      <c r="B56" s="468" t="s">
        <v>419</v>
      </c>
      <c r="C56" s="463"/>
      <c r="D56" s="164">
        <f>IF(F56=0,0,F56/$D$8)</f>
        <v>94.84</v>
      </c>
      <c r="E56" s="319">
        <f>IF(E5=2,0,IF(E6=1,'4.Conventional AI BreedingCost'!F44,0))</f>
        <v>98.791666666666671</v>
      </c>
      <c r="F56" s="24">
        <f>E56*$C$17</f>
        <v>9484</v>
      </c>
      <c r="G56" s="225">
        <f t="shared" si="3"/>
        <v>112.26325757575756</v>
      </c>
      <c r="H56" s="268">
        <f t="shared" si="4"/>
        <v>6.956882692753795E-2</v>
      </c>
      <c r="I56" t="s">
        <v>14</v>
      </c>
      <c r="M56" s="12">
        <f>F58+F56</f>
        <v>9484</v>
      </c>
      <c r="N56" t="s">
        <v>15</v>
      </c>
    </row>
    <row r="57" spans="2:18" ht="15.45" x14ac:dyDescent="0.4">
      <c r="B57" s="468" t="s">
        <v>375</v>
      </c>
      <c r="C57" s="463"/>
      <c r="D57" s="373">
        <f>IF(F57=0,0,F57/$D$8)</f>
        <v>0</v>
      </c>
      <c r="E57" s="319">
        <f>IF(E5=2,0,IF(E6=2,'4.Conventional AI BreedingCost'!F89,0))</f>
        <v>0</v>
      </c>
      <c r="F57" s="24">
        <f>E57*$C$17</f>
        <v>0</v>
      </c>
      <c r="G57" s="10">
        <f t="shared" si="3"/>
        <v>0</v>
      </c>
      <c r="H57" s="266">
        <f t="shared" si="4"/>
        <v>0</v>
      </c>
      <c r="I57" s="27">
        <f>((F58+F56)/F70)</f>
        <v>6.956882692753795E-2</v>
      </c>
      <c r="J57" s="28"/>
      <c r="M57" s="17"/>
    </row>
    <row r="58" spans="2:18" ht="15.45" x14ac:dyDescent="0.4">
      <c r="B58" s="2" t="s">
        <v>246</v>
      </c>
      <c r="C58" s="2"/>
      <c r="D58" s="373">
        <f>IF(F58=0,0,F58/$D$8)</f>
        <v>0</v>
      </c>
      <c r="E58" s="385">
        <f>IF(E5=2,'7. Natural Service Cost'!F28,0)</f>
        <v>0</v>
      </c>
      <c r="F58" s="24">
        <f>E58*$C$17</f>
        <v>0</v>
      </c>
      <c r="G58" s="10">
        <f t="shared" si="3"/>
        <v>0</v>
      </c>
      <c r="H58" s="266">
        <f t="shared" si="4"/>
        <v>0</v>
      </c>
      <c r="I58" s="58">
        <f>F41</f>
        <v>143514</v>
      </c>
      <c r="J58" t="s">
        <v>51</v>
      </c>
    </row>
    <row r="59" spans="2:18" ht="15" x14ac:dyDescent="0.35">
      <c r="B59" s="15" t="s">
        <v>391</v>
      </c>
      <c r="D59" s="373">
        <f>IF(F59=0,0,F59/$D$8)</f>
        <v>0</v>
      </c>
      <c r="E59" s="181">
        <v>0</v>
      </c>
      <c r="F59" s="24">
        <f>E59*$C$17</f>
        <v>0</v>
      </c>
      <c r="G59" s="10">
        <f t="shared" si="3"/>
        <v>0</v>
      </c>
      <c r="H59" s="266">
        <f t="shared" si="4"/>
        <v>0</v>
      </c>
      <c r="I59" s="50">
        <f>F70</f>
        <v>136325.42647123287</v>
      </c>
      <c r="J59" s="21" t="s">
        <v>54</v>
      </c>
    </row>
    <row r="60" spans="2:18" ht="15.45" x14ac:dyDescent="0.4">
      <c r="B60" s="142" t="s">
        <v>115</v>
      </c>
      <c r="C60" s="148"/>
      <c r="D60" s="143">
        <f>F60/$D$8</f>
        <v>1172.0899999999999</v>
      </c>
      <c r="E60" s="163"/>
      <c r="F60" s="143">
        <f>SUM(F52:F59)+F44</f>
        <v>117209</v>
      </c>
      <c r="G60" s="225">
        <f t="shared" si="3"/>
        <v>1387.417140151515</v>
      </c>
      <c r="H60" s="268">
        <f t="shared" si="4"/>
        <v>0.85977358027728756</v>
      </c>
      <c r="I60" s="162">
        <f>($F$44)</f>
        <v>75000</v>
      </c>
      <c r="J60" s="21" t="s">
        <v>213</v>
      </c>
      <c r="K60" s="21"/>
      <c r="L60" s="21" t="s">
        <v>236</v>
      </c>
      <c r="M60" s="21"/>
      <c r="N60" s="30">
        <f>I60*I63</f>
        <v>3123.2876712328771</v>
      </c>
      <c r="R60" s="17"/>
    </row>
    <row r="61" spans="2:18" ht="15.45" x14ac:dyDescent="0.4">
      <c r="B61" s="3" t="s">
        <v>179</v>
      </c>
      <c r="C61" s="46"/>
      <c r="D61" s="46" t="s">
        <v>25</v>
      </c>
      <c r="G61" s="10">
        <f t="shared" si="3"/>
        <v>0</v>
      </c>
      <c r="H61" s="266">
        <f t="shared" si="4"/>
        <v>0</v>
      </c>
      <c r="I61" s="323">
        <f>((($F$44+(SUM($F$52:$F$59)+$F$64)*0.5))*L61)+M71</f>
        <v>88339.408999983396</v>
      </c>
      <c r="J61" s="178" t="s">
        <v>127</v>
      </c>
      <c r="K61" s="178"/>
      <c r="L61" s="257">
        <f>J31/365</f>
        <v>0.81710917393109173</v>
      </c>
      <c r="M61" s="21"/>
      <c r="N61" s="30"/>
      <c r="O61" s="21" t="s">
        <v>240</v>
      </c>
      <c r="R61" s="17"/>
    </row>
    <row r="62" spans="2:18" ht="15" x14ac:dyDescent="0.35">
      <c r="B62" s="2" t="s">
        <v>277</v>
      </c>
      <c r="C62" s="181">
        <v>0.5</v>
      </c>
      <c r="D62" s="212">
        <f>J30</f>
        <v>29526.240000000002</v>
      </c>
      <c r="F62" s="24">
        <f>D62*C62</f>
        <v>14763.12</v>
      </c>
      <c r="G62" s="10">
        <f t="shared" si="3"/>
        <v>174.75284090909091</v>
      </c>
      <c r="H62" s="266">
        <f t="shared" si="4"/>
        <v>0.10829322439798335</v>
      </c>
      <c r="I62" s="162">
        <f>(((SUM($F$52:$F$59)+$F$64)*0.5))</f>
        <v>28486.06</v>
      </c>
      <c r="J62" s="21" t="s">
        <v>211</v>
      </c>
      <c r="K62" s="21"/>
      <c r="L62" s="21"/>
      <c r="M62" s="21"/>
      <c r="N62" s="30">
        <f>I62*I63</f>
        <v>1186.2688000000003</v>
      </c>
      <c r="R62" s="17"/>
    </row>
    <row r="63" spans="2:18" ht="15" x14ac:dyDescent="0.35">
      <c r="B63" s="15" t="s">
        <v>205</v>
      </c>
      <c r="C63" s="213"/>
      <c r="D63" s="181">
        <v>0</v>
      </c>
      <c r="F63" s="24">
        <f>D63*$D$8</f>
        <v>0</v>
      </c>
      <c r="G63" s="10">
        <f t="shared" si="3"/>
        <v>0</v>
      </c>
      <c r="H63" s="266">
        <f t="shared" si="4"/>
        <v>0</v>
      </c>
      <c r="I63" s="161">
        <f>(C67*0.01)*(I30/365)</f>
        <v>4.1643835616438363E-2</v>
      </c>
      <c r="J63" s="52" t="s">
        <v>128</v>
      </c>
      <c r="N63" s="245"/>
    </row>
    <row r="64" spans="2:18" ht="15.45" x14ac:dyDescent="0.4">
      <c r="B64" s="3" t="s">
        <v>180</v>
      </c>
      <c r="C64" s="138"/>
      <c r="D64" s="143">
        <f>F64/$D$8</f>
        <v>147.63120000000001</v>
      </c>
      <c r="E64" s="143"/>
      <c r="F64" s="143">
        <f>SUM(F62:F63)</f>
        <v>14763.12</v>
      </c>
      <c r="G64" s="67">
        <f t="shared" si="3"/>
        <v>174.75284090909091</v>
      </c>
      <c r="H64" s="269">
        <f t="shared" si="4"/>
        <v>0.10829322439798335</v>
      </c>
      <c r="I64" s="26">
        <f>I61*I63</f>
        <v>3678.7918268486242</v>
      </c>
      <c r="J64" s="165" t="s">
        <v>157</v>
      </c>
      <c r="K64" s="1"/>
      <c r="N64" s="30">
        <f>N60+N62</f>
        <v>4309.5564712328778</v>
      </c>
    </row>
    <row r="65" spans="1:16" ht="15.45" x14ac:dyDescent="0.4">
      <c r="B65" s="131" t="s">
        <v>113</v>
      </c>
      <c r="C65" s="2"/>
      <c r="D65" s="13"/>
      <c r="E65" s="198"/>
      <c r="F65" s="24"/>
      <c r="G65" s="2"/>
      <c r="H65" s="56"/>
      <c r="I65" s="27"/>
      <c r="J65" s="22"/>
      <c r="K65" s="1"/>
    </row>
    <row r="66" spans="1:16" ht="15.45" x14ac:dyDescent="0.4">
      <c r="B66" s="19" t="s">
        <v>376</v>
      </c>
      <c r="C66" s="2"/>
      <c r="D66" s="192">
        <f>F66/$D$8</f>
        <v>0.4375</v>
      </c>
      <c r="E66" s="67"/>
      <c r="F66" s="24">
        <f>IF(N72=0,0,I73)</f>
        <v>43.75</v>
      </c>
      <c r="G66" s="10">
        <f>F66/$C$81</f>
        <v>0.51787405303030298</v>
      </c>
      <c r="H66" s="56"/>
      <c r="I66" s="258"/>
      <c r="J66" s="22"/>
      <c r="N66" s="51"/>
    </row>
    <row r="67" spans="1:16" ht="15.45" x14ac:dyDescent="0.4">
      <c r="B67" s="19" t="s">
        <v>178</v>
      </c>
      <c r="C67" s="339">
        <v>5</v>
      </c>
      <c r="D67" s="164">
        <f>(((($D$44+(((SUM($D$52:$D$59)*0.5)+$D$64*0.5))))*($C$67*0.01))*($I$30/365))</f>
        <v>43.095564712328773</v>
      </c>
      <c r="E67" s="17"/>
      <c r="F67" s="24">
        <f>D67*$D$8</f>
        <v>4309.5564712328769</v>
      </c>
      <c r="G67" s="10">
        <f>F67/$C$81</f>
        <v>51.012742320464923</v>
      </c>
      <c r="H67" s="56"/>
      <c r="I67" s="29">
        <f>F41-I59</f>
        <v>7188.5735287671268</v>
      </c>
      <c r="J67" s="22" t="s">
        <v>13</v>
      </c>
      <c r="K67" s="1"/>
      <c r="N67" s="30"/>
    </row>
    <row r="68" spans="1:16" ht="15.45" x14ac:dyDescent="0.4">
      <c r="B68" s="142" t="s">
        <v>114</v>
      </c>
      <c r="C68" s="146"/>
      <c r="D68" s="192">
        <f>F68/$D$8</f>
        <v>43.533064712328766</v>
      </c>
      <c r="E68" s="156"/>
      <c r="F68" s="270">
        <f>F66+F67</f>
        <v>4353.3064712328769</v>
      </c>
      <c r="G68" s="225">
        <f t="shared" ref="G68" si="5">F68/$C$81</f>
        <v>51.530616373495228</v>
      </c>
      <c r="H68" s="268">
        <f>F68/$F$70</f>
        <v>3.1933195324729116E-2</v>
      </c>
      <c r="I68" s="307">
        <f>'6. Bull Cost'!H35</f>
        <v>0.45572916666666669</v>
      </c>
      <c r="J68" s="1" t="s">
        <v>392</v>
      </c>
      <c r="K68" s="1"/>
    </row>
    <row r="69" spans="1:16" ht="15" x14ac:dyDescent="0.35">
      <c r="B69" s="19"/>
      <c r="C69" s="246" t="s">
        <v>216</v>
      </c>
      <c r="D69" s="20"/>
      <c r="F69" s="24"/>
      <c r="G69" s="2"/>
      <c r="H69" s="56"/>
      <c r="I69" s="51"/>
      <c r="L69" t="s">
        <v>238</v>
      </c>
      <c r="N69" s="137" t="s">
        <v>159</v>
      </c>
      <c r="O69" s="22" t="s">
        <v>77</v>
      </c>
    </row>
    <row r="70" spans="1:16" ht="15.45" x14ac:dyDescent="0.4">
      <c r="B70" s="138" t="s">
        <v>181</v>
      </c>
      <c r="C70" s="274">
        <f>D8</f>
        <v>100</v>
      </c>
      <c r="D70" s="143">
        <f>F70/$D$8</f>
        <v>1363.2542647123287</v>
      </c>
      <c r="E70" s="147"/>
      <c r="F70" s="148">
        <f>F60+F64+F68</f>
        <v>136325.42647123287</v>
      </c>
      <c r="G70" s="148">
        <f>G60+G64+G68</f>
        <v>1613.7005974341012</v>
      </c>
      <c r="H70" s="266">
        <f>F70/$F$70</f>
        <v>1</v>
      </c>
      <c r="I70" s="253">
        <f>N73</f>
        <v>43.75</v>
      </c>
      <c r="J70" s="178" t="s">
        <v>307</v>
      </c>
      <c r="K70" s="2"/>
      <c r="L70" s="21" t="s">
        <v>170</v>
      </c>
      <c r="M70" s="17">
        <f>'6. Bull Cost'!L29</f>
        <v>87.5</v>
      </c>
      <c r="N70" s="318">
        <f>'4.Conventional AI BreedingCost'!D7</f>
        <v>96</v>
      </c>
      <c r="O70" s="317">
        <f>'7. Natural Service Cost'!C4</f>
        <v>0</v>
      </c>
    </row>
    <row r="71" spans="1:16" ht="15.45" x14ac:dyDescent="0.4">
      <c r="B71" s="3"/>
      <c r="C71" s="2"/>
      <c r="D71" s="40"/>
      <c r="E71" s="5"/>
      <c r="F71" s="24"/>
      <c r="G71" s="2"/>
      <c r="H71" s="56"/>
      <c r="I71" s="253">
        <f>O73</f>
        <v>109.375</v>
      </c>
      <c r="J71" s="52" t="s">
        <v>150</v>
      </c>
      <c r="L71" s="1" t="s">
        <v>237</v>
      </c>
      <c r="M71" s="324">
        <f>IF(E5=1,N71,O71)</f>
        <v>3780</v>
      </c>
      <c r="N71" s="255">
        <f>'6. Bull Cost'!G40</f>
        <v>3780</v>
      </c>
      <c r="O71" s="390">
        <f>'7. Natural Service Cost'!D44</f>
        <v>9450</v>
      </c>
    </row>
    <row r="72" spans="1:16" ht="15.45" x14ac:dyDescent="0.4">
      <c r="B72" s="222" t="s">
        <v>206</v>
      </c>
      <c r="C72" s="419">
        <f>C70</f>
        <v>100</v>
      </c>
      <c r="D72" s="402">
        <f>F72/$D$8</f>
        <v>71.885735287671267</v>
      </c>
      <c r="E72" s="232"/>
      <c r="F72" s="223">
        <f>F41-F70</f>
        <v>7188.5735287671268</v>
      </c>
      <c r="G72" s="225">
        <f>F72/$C$81</f>
        <v>85.092016202262386</v>
      </c>
      <c r="H72" s="266"/>
      <c r="I72" s="60" t="s">
        <v>239</v>
      </c>
      <c r="J72" s="1"/>
      <c r="M72" s="17"/>
      <c r="N72" s="308">
        <f>'4.Conventional AI BreedingCost'!E41</f>
        <v>2</v>
      </c>
      <c r="O72" s="309">
        <f>'7. Natural Service Cost'!E6</f>
        <v>5</v>
      </c>
      <c r="P72" s="21" t="s">
        <v>310</v>
      </c>
    </row>
    <row r="73" spans="1:16" ht="15.45" x14ac:dyDescent="0.4">
      <c r="B73" s="3"/>
      <c r="C73" s="2"/>
      <c r="D73" s="40"/>
      <c r="E73" s="5"/>
      <c r="F73" s="24"/>
      <c r="G73" s="2"/>
      <c r="H73" s="56"/>
      <c r="I73" s="322">
        <f>IF(E5=1,I70,I71)</f>
        <v>43.75</v>
      </c>
      <c r="J73" s="1" t="s">
        <v>324</v>
      </c>
      <c r="L73" s="55" t="s">
        <v>309</v>
      </c>
      <c r="N73" s="55">
        <f>'5. Conventional AI Summary'!D65</f>
        <v>43.75</v>
      </c>
      <c r="O73" s="315">
        <f>'7. Natural Service Cost'!D39</f>
        <v>109.375</v>
      </c>
      <c r="P73" s="21" t="s">
        <v>242</v>
      </c>
    </row>
    <row r="74" spans="1:16" ht="15.45" x14ac:dyDescent="0.4">
      <c r="B74" s="138" t="s">
        <v>143</v>
      </c>
      <c r="C74" s="144"/>
      <c r="D74" s="144"/>
      <c r="E74" s="144"/>
      <c r="F74" s="150">
        <f>I76</f>
        <v>0.13065380593617254</v>
      </c>
      <c r="G74" s="2"/>
      <c r="H74" s="56"/>
      <c r="L74" s="21" t="s">
        <v>311</v>
      </c>
      <c r="M74" s="17"/>
      <c r="N74" s="29">
        <f>'5. Conventional AI Summary'!D64</f>
        <v>2995</v>
      </c>
      <c r="O74" s="321">
        <f>'7. Natural Service Cost'!D37</f>
        <v>7487.5</v>
      </c>
    </row>
    <row r="75" spans="1:16" ht="15" x14ac:dyDescent="0.35">
      <c r="A75" s="70"/>
      <c r="B75" s="180" t="s">
        <v>144</v>
      </c>
      <c r="C75" s="88"/>
      <c r="D75" s="88"/>
      <c r="E75" s="88"/>
      <c r="F75" s="134"/>
      <c r="G75" s="2"/>
      <c r="H75" s="56"/>
      <c r="I75" s="1" t="s">
        <v>134</v>
      </c>
      <c r="N75" s="55">
        <f>N74/N70</f>
        <v>31.197916666666668</v>
      </c>
      <c r="O75" s="55">
        <f>IF(O70=0,0,O74/O70)</f>
        <v>0</v>
      </c>
    </row>
    <row r="76" spans="1:16" ht="15" x14ac:dyDescent="0.35">
      <c r="A76" s="70"/>
      <c r="B76" s="87"/>
      <c r="C76" s="88"/>
      <c r="D76" s="88"/>
      <c r="E76" s="88"/>
      <c r="F76" s="134"/>
      <c r="G76" s="2"/>
      <c r="H76" s="6"/>
      <c r="I76" s="191">
        <f>(F72+F68)/I61</f>
        <v>0.13065380593617254</v>
      </c>
      <c r="J76" s="1" t="s">
        <v>8</v>
      </c>
      <c r="M76" s="120" t="s">
        <v>308</v>
      </c>
      <c r="N76" s="12" t="str">
        <f>F5</f>
        <v>Conventional AI</v>
      </c>
      <c r="O76" s="27"/>
    </row>
    <row r="77" spans="1:16" ht="15.45" x14ac:dyDescent="0.4">
      <c r="A77" s="70"/>
      <c r="B77" s="75" t="s">
        <v>120</v>
      </c>
      <c r="C77" s="37" t="s">
        <v>71</v>
      </c>
      <c r="D77" s="3" t="s">
        <v>474</v>
      </c>
      <c r="F77" s="135"/>
      <c r="G77" s="2"/>
      <c r="H77" s="6"/>
      <c r="I77" s="2"/>
      <c r="J77" s="2"/>
      <c r="M77" s="17"/>
      <c r="N77" s="29"/>
      <c r="O77" s="27"/>
    </row>
    <row r="78" spans="1:16" ht="15.45" x14ac:dyDescent="0.4">
      <c r="B78" s="11" t="s">
        <v>67</v>
      </c>
      <c r="C78" s="37">
        <f>C72</f>
        <v>100</v>
      </c>
      <c r="D78" s="16">
        <f>F78/$C$78</f>
        <v>1363.2542647123287</v>
      </c>
      <c r="E78" s="21"/>
      <c r="F78" s="25">
        <f>F70</f>
        <v>136325.42647123287</v>
      </c>
      <c r="G78" s="2"/>
      <c r="H78" s="418"/>
    </row>
    <row r="79" spans="1:16" ht="15.45" x14ac:dyDescent="0.4">
      <c r="B79" s="2"/>
      <c r="C79" s="37"/>
      <c r="D79" s="3" t="s">
        <v>53</v>
      </c>
      <c r="H79" s="6"/>
      <c r="N79" s="29"/>
    </row>
    <row r="80" spans="1:16" ht="15.45" x14ac:dyDescent="0.4">
      <c r="B80" s="11" t="s">
        <v>3</v>
      </c>
      <c r="C80" s="133">
        <f>C34+C35</f>
        <v>14.519999999999996</v>
      </c>
      <c r="D80" s="12">
        <f>F80/$C$81</f>
        <v>-155.0426136363636</v>
      </c>
      <c r="F80" s="12">
        <f>(F34+F35)*-1</f>
        <v>-13097.999999999996</v>
      </c>
      <c r="G80" s="17"/>
      <c r="H80" s="6"/>
      <c r="N80" s="26"/>
    </row>
    <row r="81" spans="2:14" ht="15.45" x14ac:dyDescent="0.4">
      <c r="B81" s="151" t="s">
        <v>7</v>
      </c>
      <c r="C81" s="152">
        <f>C86</f>
        <v>84.48</v>
      </c>
      <c r="D81" s="147">
        <f>F81/C81</f>
        <v>1458.6579837977376</v>
      </c>
      <c r="E81" s="153"/>
      <c r="F81" s="154">
        <f>F78+F80</f>
        <v>123227.42647123287</v>
      </c>
      <c r="G81" s="26"/>
      <c r="H81" s="209"/>
      <c r="I81" s="51"/>
      <c r="N81" s="29"/>
    </row>
    <row r="82" spans="2:14" ht="15" x14ac:dyDescent="0.35">
      <c r="B82" s="2"/>
      <c r="C82" s="41"/>
      <c r="D82" s="136"/>
      <c r="E82" s="52"/>
      <c r="F82" s="12"/>
      <c r="H82" s="6"/>
    </row>
    <row r="83" spans="2:14" x14ac:dyDescent="0.3">
      <c r="D83" s="26"/>
      <c r="H83" s="6"/>
      <c r="J83" t="s">
        <v>274</v>
      </c>
    </row>
    <row r="84" spans="2:14" ht="15.45" x14ac:dyDescent="0.4">
      <c r="B84" s="138" t="s">
        <v>182</v>
      </c>
      <c r="C84" s="247">
        <f>C86</f>
        <v>84.48</v>
      </c>
      <c r="D84" s="147">
        <f>F84/$C$84</f>
        <v>1458.6579837977376</v>
      </c>
      <c r="E84" s="155"/>
      <c r="F84" s="148">
        <f>F81+F82</f>
        <v>123227.42647123287</v>
      </c>
      <c r="G84" s="51"/>
      <c r="H84" s="209"/>
      <c r="I84" s="26">
        <f>E127</f>
        <v>1557.6922401751794</v>
      </c>
      <c r="J84" s="29">
        <f>I84-D84</f>
        <v>99.034256377441807</v>
      </c>
    </row>
    <row r="85" spans="2:14" x14ac:dyDescent="0.3">
      <c r="H85" s="6"/>
      <c r="I85" s="52"/>
    </row>
    <row r="86" spans="2:14" ht="15.45" x14ac:dyDescent="0.4">
      <c r="B86" s="138" t="s">
        <v>177</v>
      </c>
      <c r="C86" s="152">
        <f>IF($E$5=1,($C$36+$C$37),$C$38)</f>
        <v>84.48</v>
      </c>
      <c r="D86" s="149">
        <f>F86/C86</f>
        <v>1543.75</v>
      </c>
      <c r="E86" s="138"/>
      <c r="F86" s="149">
        <f>IF(E5=1,(F36+F37+F40),(F38+F40))</f>
        <v>130416</v>
      </c>
      <c r="G86" s="35"/>
      <c r="H86" s="210"/>
      <c r="I86" s="2" t="s">
        <v>217</v>
      </c>
    </row>
    <row r="87" spans="2:14" ht="15" x14ac:dyDescent="0.35">
      <c r="B87" s="2"/>
      <c r="D87" s="2"/>
      <c r="E87" s="2"/>
      <c r="F87" s="2"/>
      <c r="H87" s="6"/>
    </row>
    <row r="88" spans="2:14" ht="15.45" x14ac:dyDescent="0.4">
      <c r="B88" s="138" t="s">
        <v>147</v>
      </c>
      <c r="C88" s="152">
        <f>C86</f>
        <v>84.48</v>
      </c>
      <c r="D88" s="147">
        <f>F88/$C$81</f>
        <v>85.092016202262386</v>
      </c>
      <c r="E88" s="138"/>
      <c r="F88" s="149">
        <f>F41-F70</f>
        <v>7188.5735287671268</v>
      </c>
      <c r="H88" s="211"/>
    </row>
    <row r="89" spans="2:14" ht="15.45" x14ac:dyDescent="0.4">
      <c r="D89" s="3"/>
      <c r="H89" s="6"/>
    </row>
    <row r="90" spans="2:14" ht="15.45" x14ac:dyDescent="0.4">
      <c r="B90" s="66"/>
      <c r="C90" s="76" t="s">
        <v>104</v>
      </c>
      <c r="D90" s="76" t="s">
        <v>106</v>
      </c>
      <c r="E90" s="77"/>
      <c r="F90" s="65"/>
      <c r="G90" s="137"/>
      <c r="H90" s="6"/>
    </row>
    <row r="91" spans="2:14" ht="15.45" x14ac:dyDescent="0.4">
      <c r="B91" s="3" t="s">
        <v>124</v>
      </c>
      <c r="C91" s="76" t="s">
        <v>105</v>
      </c>
      <c r="D91" s="76" t="s">
        <v>107</v>
      </c>
      <c r="E91" s="76" t="s">
        <v>101</v>
      </c>
      <c r="F91" s="76"/>
      <c r="G91" s="137"/>
      <c r="H91" s="6"/>
    </row>
    <row r="92" spans="2:14" ht="15" x14ac:dyDescent="0.35">
      <c r="B92" s="2" t="s">
        <v>136</v>
      </c>
      <c r="C92" s="118">
        <f t="shared" ref="C92:C105" si="6">E92/$C$84</f>
        <v>887.78409090909088</v>
      </c>
      <c r="D92" s="78">
        <f>E92/$E$105</f>
        <v>0.60863074193559141</v>
      </c>
      <c r="E92" s="118">
        <f>G10+G11</f>
        <v>75000</v>
      </c>
      <c r="H92" s="6"/>
      <c r="J92" s="29"/>
    </row>
    <row r="93" spans="2:14" ht="15" x14ac:dyDescent="0.35">
      <c r="B93" s="2" t="s">
        <v>102</v>
      </c>
      <c r="C93" s="12">
        <f>E93/$C$84</f>
        <v>-155.0426136363636</v>
      </c>
      <c r="D93" s="78">
        <f>E93/$E$105</f>
        <v>-0.10629127277163165</v>
      </c>
      <c r="E93" s="118">
        <f>+F80</f>
        <v>-13097.999999999996</v>
      </c>
      <c r="J93" s="29"/>
    </row>
    <row r="94" spans="2:14" ht="15" x14ac:dyDescent="0.35">
      <c r="B94" s="2"/>
      <c r="C94" s="12"/>
      <c r="D94" s="61" t="s">
        <v>158</v>
      </c>
      <c r="E94" s="118"/>
      <c r="J94" s="29"/>
    </row>
    <row r="95" spans="2:14" ht="15.45" x14ac:dyDescent="0.4">
      <c r="B95" s="3" t="s">
        <v>141</v>
      </c>
      <c r="C95" s="16">
        <f t="shared" si="6"/>
        <v>732.74147727272725</v>
      </c>
      <c r="D95" s="78">
        <f t="shared" ref="D95:D103" si="7">E95/$E$105</f>
        <v>0.50233946916395977</v>
      </c>
      <c r="E95" s="16">
        <f>E92+E93</f>
        <v>61902</v>
      </c>
      <c r="J95" s="29"/>
    </row>
    <row r="96" spans="2:14" ht="15" x14ac:dyDescent="0.35">
      <c r="B96" s="66" t="s">
        <v>108</v>
      </c>
      <c r="C96" s="118">
        <f t="shared" si="6"/>
        <v>373.16524621212119</v>
      </c>
      <c r="D96" s="78">
        <f t="shared" si="7"/>
        <v>0.25582778852692695</v>
      </c>
      <c r="E96" s="119">
        <f>F52</f>
        <v>31525</v>
      </c>
    </row>
    <row r="97" spans="2:11" ht="15" x14ac:dyDescent="0.35">
      <c r="B97" s="66" t="s">
        <v>110</v>
      </c>
      <c r="C97" s="118">
        <f>E97/$C$84</f>
        <v>14.204545454545453</v>
      </c>
      <c r="D97" s="78">
        <f t="shared" si="7"/>
        <v>9.7380918709694623E-3</v>
      </c>
      <c r="E97" s="119">
        <f>F53+F54+F55</f>
        <v>1200</v>
      </c>
    </row>
    <row r="98" spans="2:11" ht="15" x14ac:dyDescent="0.35">
      <c r="B98" s="2" t="s">
        <v>191</v>
      </c>
      <c r="C98" s="118">
        <f>E98/$C$84</f>
        <v>0</v>
      </c>
      <c r="D98" s="78">
        <f t="shared" si="7"/>
        <v>0</v>
      </c>
      <c r="E98" s="119">
        <f>F59</f>
        <v>0</v>
      </c>
    </row>
    <row r="99" spans="2:11" ht="15.45" x14ac:dyDescent="0.4">
      <c r="B99" s="87" t="s">
        <v>313</v>
      </c>
      <c r="C99" s="396">
        <f t="shared" si="6"/>
        <v>112.26325757575756</v>
      </c>
      <c r="D99" s="78">
        <f t="shared" si="7"/>
        <v>7.6963386086895319E-2</v>
      </c>
      <c r="E99" s="325">
        <f>+F56+F57</f>
        <v>9484</v>
      </c>
      <c r="F99" s="16"/>
      <c r="G99" s="205"/>
      <c r="I99" s="17"/>
      <c r="J99" s="29"/>
      <c r="K99" s="183"/>
    </row>
    <row r="100" spans="2:11" ht="15.45" x14ac:dyDescent="0.4">
      <c r="B100" s="87" t="s">
        <v>400</v>
      </c>
      <c r="C100" s="337">
        <f t="shared" si="6"/>
        <v>0.51787405303030298</v>
      </c>
      <c r="D100" s="78">
        <f t="shared" si="7"/>
        <v>3.5503459946242832E-4</v>
      </c>
      <c r="E100" s="325">
        <f>F66</f>
        <v>43.75</v>
      </c>
      <c r="F100" s="16"/>
      <c r="G100" s="205"/>
      <c r="I100" s="17"/>
      <c r="J100" s="29"/>
      <c r="K100" s="183"/>
    </row>
    <row r="101" spans="2:11" ht="15.45" x14ac:dyDescent="0.4">
      <c r="B101" s="222" t="s">
        <v>312</v>
      </c>
      <c r="C101" s="232">
        <f>C99+C100</f>
        <v>112.78113162878786</v>
      </c>
      <c r="D101" s="78">
        <f t="shared" si="7"/>
        <v>7.7318420686357747E-2</v>
      </c>
      <c r="E101" s="223">
        <f>E99+E100</f>
        <v>9527.75</v>
      </c>
      <c r="G101" s="205"/>
      <c r="H101" s="16"/>
      <c r="I101" s="17"/>
      <c r="J101" s="29"/>
      <c r="K101" s="183"/>
    </row>
    <row r="102" spans="2:11" ht="15" x14ac:dyDescent="0.35">
      <c r="B102" s="2" t="s">
        <v>190</v>
      </c>
      <c r="C102" s="12">
        <f t="shared" si="6"/>
        <v>51.012742320464923</v>
      </c>
      <c r="D102" s="78">
        <f t="shared" si="7"/>
        <v>3.4972380699997266E-2</v>
      </c>
      <c r="E102" s="119">
        <f>F68-F66</f>
        <v>4309.5564712328769</v>
      </c>
      <c r="H102" s="26"/>
    </row>
    <row r="103" spans="2:11" ht="15" x14ac:dyDescent="0.35">
      <c r="B103" s="2" t="s">
        <v>185</v>
      </c>
      <c r="C103" s="12">
        <f t="shared" si="6"/>
        <v>174.75284090909091</v>
      </c>
      <c r="D103" s="78">
        <f t="shared" si="7"/>
        <v>0.11980384905178891</v>
      </c>
      <c r="E103" s="119">
        <f>F64</f>
        <v>14763.12</v>
      </c>
      <c r="H103" s="26"/>
    </row>
    <row r="104" spans="2:11" ht="15" x14ac:dyDescent="0.35">
      <c r="B104" s="2"/>
      <c r="C104" s="12"/>
      <c r="D104" s="78"/>
      <c r="E104" s="119"/>
      <c r="G104" s="29"/>
    </row>
    <row r="105" spans="2:11" ht="15.45" x14ac:dyDescent="0.4">
      <c r="B105" s="138" t="s">
        <v>109</v>
      </c>
      <c r="C105" s="149">
        <f t="shared" si="6"/>
        <v>1458.6579837977376</v>
      </c>
      <c r="D105" s="326">
        <f>E105/$E$105</f>
        <v>1</v>
      </c>
      <c r="E105" s="148">
        <f>SUM(E95:E98)+E101+E102+E103</f>
        <v>123227.42647123287</v>
      </c>
      <c r="H105" s="26"/>
    </row>
    <row r="106" spans="2:11" ht="15" x14ac:dyDescent="0.35">
      <c r="B106" s="2"/>
      <c r="C106" s="12"/>
      <c r="D106" s="61"/>
      <c r="E106" s="24"/>
      <c r="F106" s="21" t="s">
        <v>396</v>
      </c>
    </row>
    <row r="107" spans="2:11" ht="15.45" x14ac:dyDescent="0.4">
      <c r="B107" s="222" t="s">
        <v>196</v>
      </c>
      <c r="C107" s="225">
        <f>IF(F107=0,0,((C105-C95)/F107))</f>
        <v>2.3878832451480605</v>
      </c>
      <c r="D107" s="39"/>
      <c r="E107" s="1"/>
      <c r="F107" s="226">
        <f>I30</f>
        <v>304</v>
      </c>
      <c r="G107" s="35"/>
      <c r="I107" s="1"/>
    </row>
    <row r="108" spans="2:11" ht="15" x14ac:dyDescent="0.35">
      <c r="B108" s="1" t="s">
        <v>142</v>
      </c>
      <c r="D108" s="2"/>
      <c r="E108" s="2"/>
      <c r="F108" s="2"/>
    </row>
    <row r="110" spans="2:11" x14ac:dyDescent="0.3">
      <c r="B110" t="s">
        <v>218</v>
      </c>
    </row>
    <row r="111" spans="2:11" x14ac:dyDescent="0.3">
      <c r="J111" s="21"/>
    </row>
    <row r="112" spans="2:11" ht="17.600000000000001" x14ac:dyDescent="0.4">
      <c r="B112" s="68" t="s">
        <v>219</v>
      </c>
      <c r="D112" s="21"/>
      <c r="F112" s="21"/>
      <c r="H112" s="21"/>
      <c r="I112" s="21"/>
      <c r="J112" s="21"/>
      <c r="K112" s="21"/>
    </row>
    <row r="113" spans="2:25" x14ac:dyDescent="0.3">
      <c r="D113" s="35"/>
      <c r="E113" s="244"/>
      <c r="F113" s="26"/>
      <c r="G113" s="26"/>
      <c r="H113" s="26"/>
      <c r="I113" s="26"/>
      <c r="K113" s="21"/>
    </row>
    <row r="114" spans="2:25" ht="15.45" x14ac:dyDescent="0.4">
      <c r="B114" s="2"/>
      <c r="C114" s="3" t="s">
        <v>171</v>
      </c>
      <c r="D114" s="21" t="s">
        <v>275</v>
      </c>
      <c r="F114" s="223">
        <f>D86</f>
        <v>1543.75</v>
      </c>
      <c r="G114" s="21" t="s">
        <v>188</v>
      </c>
      <c r="K114" s="21"/>
      <c r="L114" s="21"/>
      <c r="M114" s="21"/>
      <c r="N114" s="21"/>
    </row>
    <row r="115" spans="2:25" ht="15.45" x14ac:dyDescent="0.4">
      <c r="B115" s="2" t="s">
        <v>229</v>
      </c>
      <c r="C115" s="37">
        <f>C81</f>
        <v>84.48</v>
      </c>
      <c r="D115" s="3"/>
      <c r="E115" s="2"/>
      <c r="F115" s="2"/>
      <c r="G115" s="2"/>
      <c r="H115" s="2"/>
      <c r="I115" s="2"/>
      <c r="K115" s="51"/>
      <c r="L115" s="51"/>
      <c r="M115" s="26"/>
      <c r="N115" s="51"/>
      <c r="O115" s="51"/>
    </row>
    <row r="116" spans="2:25" ht="15" x14ac:dyDescent="0.35">
      <c r="B116" s="2" t="s">
        <v>230</v>
      </c>
      <c r="C116" s="12">
        <f>F80</f>
        <v>-13097.999999999996</v>
      </c>
      <c r="D116" s="2"/>
      <c r="E116" s="2"/>
      <c r="F116" s="2"/>
      <c r="G116" s="2"/>
      <c r="H116" s="2"/>
      <c r="I116" s="2"/>
    </row>
    <row r="117" spans="2:25" ht="15" x14ac:dyDescent="0.35">
      <c r="B117" s="2" t="s">
        <v>231</v>
      </c>
      <c r="C117" s="24">
        <f>F64+F60-I12</f>
        <v>56972.119999999995</v>
      </c>
      <c r="D117" s="2" t="s">
        <v>280</v>
      </c>
      <c r="E117" s="2"/>
      <c r="F117" s="2"/>
      <c r="G117" s="2"/>
      <c r="H117" s="2"/>
      <c r="I117" s="2"/>
    </row>
    <row r="118" spans="2:25" ht="15.45" thickBot="1" x14ac:dyDescent="0.4">
      <c r="B118" s="2" t="s">
        <v>255</v>
      </c>
      <c r="C118" s="12">
        <f>F40*-1</f>
        <v>0</v>
      </c>
      <c r="D118" s="2" t="s">
        <v>281</v>
      </c>
      <c r="E118" s="2" t="s">
        <v>273</v>
      </c>
      <c r="F118" s="2"/>
      <c r="G118" s="2"/>
      <c r="H118" s="2"/>
      <c r="I118" s="2"/>
    </row>
    <row r="119" spans="2:25" ht="16.3" thickTop="1" thickBot="1" x14ac:dyDescent="0.45">
      <c r="B119" s="2" t="s">
        <v>258</v>
      </c>
      <c r="C119" s="248">
        <v>100</v>
      </c>
      <c r="D119" s="12">
        <f>C119*C115</f>
        <v>8448</v>
      </c>
      <c r="E119" s="264">
        <f>F127</f>
        <v>0.1439869316988702</v>
      </c>
      <c r="F119" s="2"/>
      <c r="G119" s="2"/>
      <c r="H119" s="2"/>
      <c r="I119" s="2"/>
      <c r="K119" s="20"/>
      <c r="L119" s="164"/>
    </row>
    <row r="120" spans="2:25" ht="16.3" thickTop="1" thickBot="1" x14ac:dyDescent="0.45">
      <c r="B120" s="2"/>
      <c r="C120" s="3"/>
      <c r="F120" s="2"/>
      <c r="G120" s="2"/>
      <c r="H120" s="2"/>
      <c r="I120" s="2"/>
      <c r="K120" s="20"/>
      <c r="L120" s="164"/>
    </row>
    <row r="121" spans="2:25" ht="15.9" thickTop="1" thickBot="1" x14ac:dyDescent="0.4">
      <c r="B121" s="2" t="s">
        <v>232</v>
      </c>
      <c r="C121" s="248">
        <v>10</v>
      </c>
      <c r="E121" s="56" t="s">
        <v>215</v>
      </c>
      <c r="F121" s="2"/>
      <c r="G121" s="137" t="s">
        <v>243</v>
      </c>
      <c r="H121" s="2"/>
      <c r="I121" s="2"/>
      <c r="V121" s="29">
        <f>I61</f>
        <v>88339.408999983396</v>
      </c>
    </row>
    <row r="122" spans="2:25" ht="15" customHeight="1" thickTop="1" x14ac:dyDescent="0.35">
      <c r="B122" s="2"/>
      <c r="C122" s="2"/>
      <c r="D122" s="2"/>
      <c r="E122" s="56" t="s">
        <v>254</v>
      </c>
      <c r="F122" s="2"/>
      <c r="G122" s="137" t="s">
        <v>74</v>
      </c>
      <c r="H122" s="2"/>
      <c r="I122" s="2"/>
      <c r="K122" s="2" t="s">
        <v>224</v>
      </c>
      <c r="V122" s="29">
        <f>V121-U127</f>
        <v>0</v>
      </c>
    </row>
    <row r="123" spans="2:25" ht="15.45" x14ac:dyDescent="0.4">
      <c r="B123" s="2"/>
      <c r="C123" s="456" t="s">
        <v>220</v>
      </c>
      <c r="D123" s="465"/>
      <c r="E123" s="56" t="s">
        <v>233</v>
      </c>
      <c r="F123" s="76" t="s">
        <v>99</v>
      </c>
      <c r="G123" s="252" t="s">
        <v>244</v>
      </c>
      <c r="J123" s="2" t="s">
        <v>101</v>
      </c>
      <c r="K123" s="2" t="s">
        <v>101</v>
      </c>
      <c r="L123" s="2"/>
      <c r="M123" s="2" t="s">
        <v>222</v>
      </c>
      <c r="N123" s="2"/>
      <c r="Q123" s="21" t="s">
        <v>245</v>
      </c>
    </row>
    <row r="124" spans="2:25" ht="15" x14ac:dyDescent="0.35">
      <c r="B124" s="2"/>
      <c r="C124" s="2" t="s">
        <v>221</v>
      </c>
      <c r="D124" s="2" t="s">
        <v>226</v>
      </c>
      <c r="E124" s="56" t="s">
        <v>256</v>
      </c>
      <c r="G124" s="252" t="s">
        <v>266</v>
      </c>
      <c r="J124" s="2" t="s">
        <v>225</v>
      </c>
      <c r="K124" s="2" t="s">
        <v>214</v>
      </c>
      <c r="L124" s="2" t="s">
        <v>212</v>
      </c>
      <c r="M124" s="2"/>
      <c r="N124" s="2" t="s">
        <v>223</v>
      </c>
      <c r="P124" s="2" t="s">
        <v>234</v>
      </c>
      <c r="Q124" s="21" t="s">
        <v>248</v>
      </c>
      <c r="S124" t="s">
        <v>28</v>
      </c>
      <c r="T124" t="s">
        <v>247</v>
      </c>
      <c r="U124" t="s">
        <v>235</v>
      </c>
      <c r="W124" s="21" t="s">
        <v>54</v>
      </c>
    </row>
    <row r="125" spans="2:25" ht="15" x14ac:dyDescent="0.35">
      <c r="B125" s="2"/>
      <c r="C125" s="24">
        <f>C126-C121</f>
        <v>130</v>
      </c>
      <c r="D125" s="24">
        <f>C125*($C$10+$C$11)*0.01</f>
        <v>650</v>
      </c>
      <c r="E125" s="24">
        <f>(D125*$D$8+$C$117+$K125+$C$116+$C$118+$D$119)/$C$81</f>
        <v>1434.484917886288</v>
      </c>
      <c r="F125" s="196">
        <f>(($D$119+K125)/U125)</f>
        <v>0.15356647468354701</v>
      </c>
      <c r="G125" s="216">
        <f t="shared" ref="G125:G126" si="8">X125</f>
        <v>0.51654827621840305</v>
      </c>
      <c r="J125" s="10">
        <f t="shared" ref="J125:J126" si="9">K125/$C$115</f>
        <v>45.728762583257861</v>
      </c>
      <c r="K125" s="24">
        <f>L125+M125+N125</f>
        <v>3863.1658630336242</v>
      </c>
      <c r="L125" s="20">
        <f>(($D125)*($C$67*0.01))*($J$31/365)*$D$8</f>
        <v>2655.6048152760482</v>
      </c>
      <c r="M125" s="24">
        <f>F66</f>
        <v>43.75</v>
      </c>
      <c r="N125" s="24">
        <f>N126</f>
        <v>1163.811047757576</v>
      </c>
      <c r="P125" s="30">
        <f t="shared" ref="P125:P126" si="10">D125*$D$8</f>
        <v>65000</v>
      </c>
      <c r="Q125" s="29">
        <f>Q127</f>
        <v>28486.06</v>
      </c>
      <c r="R125" s="29">
        <f t="shared" ref="R125:R126" si="11">P125+Q125</f>
        <v>93486.06</v>
      </c>
      <c r="S125" s="249">
        <f t="shared" ref="S125:S126" si="12">$J$31/365</f>
        <v>0.81710917393109173</v>
      </c>
      <c r="T125" s="255">
        <f t="shared" ref="T125:T126" si="13">$M$71</f>
        <v>3780</v>
      </c>
      <c r="U125" s="250">
        <f t="shared" ref="U125:U126" si="14">R125*S125+T125</f>
        <v>80168.317260672469</v>
      </c>
      <c r="W125" s="17">
        <f t="shared" ref="W125:W126" si="15">P125+Q125*2+K125</f>
        <v>125835.28586303361</v>
      </c>
      <c r="X125" s="183">
        <f t="shared" ref="X125:X126" si="16">P125/W125</f>
        <v>0.51654827621840305</v>
      </c>
    </row>
    <row r="126" spans="2:25" ht="15" x14ac:dyDescent="0.35">
      <c r="B126" s="2"/>
      <c r="C126" s="24">
        <f>C127-C121</f>
        <v>140</v>
      </c>
      <c r="D126" s="24">
        <f t="shared" ref="D126" si="17">C126*($C$10+$C$11)*0.01</f>
        <v>700</v>
      </c>
      <c r="E126" s="24">
        <f>(D126*$D$8+$C$117+$K126+$C$116+$C$118+$D$119)/$C$81</f>
        <v>1496.0885790307339</v>
      </c>
      <c r="F126" s="196">
        <f>(($D$119+K126)/U126)</f>
        <v>0.14854444284835827</v>
      </c>
      <c r="G126" s="216">
        <f t="shared" si="8"/>
        <v>0.53418981499801355</v>
      </c>
      <c r="J126" s="10">
        <f t="shared" si="9"/>
        <v>48.146817667097501</v>
      </c>
      <c r="K126" s="24">
        <f>L126+M126+N126</f>
        <v>4067.4431565163968</v>
      </c>
      <c r="L126" s="20">
        <f>(($D126)*($C$67*0.01))*($J$31/365)*$D$8</f>
        <v>2859.8821087588208</v>
      </c>
      <c r="M126" s="24">
        <f t="shared" ref="M126:N129" si="18">M125</f>
        <v>43.75</v>
      </c>
      <c r="N126" s="24">
        <f>N127</f>
        <v>1163.811047757576</v>
      </c>
      <c r="P126" s="30">
        <f t="shared" si="10"/>
        <v>70000</v>
      </c>
      <c r="Q126" s="29">
        <f>Q127</f>
        <v>28486.06</v>
      </c>
      <c r="R126" s="29">
        <f t="shared" si="11"/>
        <v>98486.06</v>
      </c>
      <c r="S126" s="249">
        <f t="shared" si="12"/>
        <v>0.81710917393109173</v>
      </c>
      <c r="T126" s="255">
        <f t="shared" si="13"/>
        <v>3780</v>
      </c>
      <c r="U126" s="250">
        <f t="shared" si="14"/>
        <v>84253.86313032794</v>
      </c>
      <c r="W126" s="17">
        <f t="shared" si="15"/>
        <v>131039.56315651639</v>
      </c>
      <c r="X126" s="183">
        <f t="shared" si="16"/>
        <v>0.53418981499801355</v>
      </c>
    </row>
    <row r="127" spans="2:25" ht="15.45" x14ac:dyDescent="0.4">
      <c r="B127" s="22" t="s">
        <v>257</v>
      </c>
      <c r="C127" s="25">
        <f>G12</f>
        <v>150</v>
      </c>
      <c r="D127" s="25">
        <f>C127*($C$10+$C$11)*0.01</f>
        <v>750</v>
      </c>
      <c r="E127" s="293">
        <f>(D127*$D$8+$C$117+$K127+$C$116+$C$118+$D$119)/$C$81</f>
        <v>1557.6922401751794</v>
      </c>
      <c r="F127" s="200">
        <f>(($D$119+K127)/U127)</f>
        <v>0.1439869316988702</v>
      </c>
      <c r="G127" s="240">
        <f>X127</f>
        <v>0.5504836016973893</v>
      </c>
      <c r="J127" s="10">
        <f>K127/$C$115</f>
        <v>50.564872750937134</v>
      </c>
      <c r="K127" s="386">
        <f>L127+M127+N127</f>
        <v>4271.7204499991694</v>
      </c>
      <c r="L127" s="20">
        <f>(($D127)*($C$67*0.01))*($J$31/365)*$D$8</f>
        <v>3064.1594022415939</v>
      </c>
      <c r="M127" s="24">
        <f t="shared" si="18"/>
        <v>43.75</v>
      </c>
      <c r="N127" s="20">
        <f>(((((SUM($D$52:$D$59)*0.5)+$D$64*0.5))*($C$67*0.01))*($J$31/365))*$D$8</f>
        <v>1163.811047757576</v>
      </c>
      <c r="P127" s="162">
        <f>D127*$D$8</f>
        <v>75000</v>
      </c>
      <c r="Q127" s="162">
        <f>(((SUM($F$52:$F$59)+$F$64)*0.5))</f>
        <v>28486.06</v>
      </c>
      <c r="R127" s="250">
        <f>P127+Q127</f>
        <v>103486.06</v>
      </c>
      <c r="S127" s="251">
        <f>$J$31/365</f>
        <v>0.81710917393109173</v>
      </c>
      <c r="T127" s="250">
        <f>$M$71</f>
        <v>3780</v>
      </c>
      <c r="U127" s="250">
        <f>R127*S127+T127</f>
        <v>88339.408999983396</v>
      </c>
      <c r="V127" s="29"/>
      <c r="W127" s="17">
        <f>P127+Q127*2+K127</f>
        <v>136243.84044999917</v>
      </c>
      <c r="X127" s="183">
        <f>P127/W127</f>
        <v>0.5504836016973893</v>
      </c>
      <c r="Y127" s="52" t="s">
        <v>127</v>
      </c>
    </row>
    <row r="128" spans="2:25" ht="15" x14ac:dyDescent="0.35">
      <c r="B128" s="2"/>
      <c r="C128" s="24">
        <f>C127+C121</f>
        <v>160</v>
      </c>
      <c r="D128" s="24">
        <f t="shared" ref="D128:D129" si="19">C128*($C$10+$C$11)*0.01</f>
        <v>800</v>
      </c>
      <c r="E128" s="24">
        <f>(D128*$D$8+$C$117+$K128+$C$116+$C$118+$D$119)/$C$81</f>
        <v>1619.2959013196253</v>
      </c>
      <c r="F128" s="196">
        <f>(($D$119+K128)/U128)</f>
        <v>0.13983234032097336</v>
      </c>
      <c r="G128" s="216">
        <f t="shared" ref="G128:G129" si="20">X128</f>
        <v>0.56557839917729458</v>
      </c>
      <c r="J128" s="10">
        <f t="shared" ref="J128:J129" si="21">K128/$C$115</f>
        <v>52.982927834776781</v>
      </c>
      <c r="K128" s="24">
        <f>L128+M128+N128</f>
        <v>4475.997743481943</v>
      </c>
      <c r="L128" s="20">
        <f>(($D128)*($C$67*0.01))*($J$31/365)*$D$8</f>
        <v>3268.4366957243669</v>
      </c>
      <c r="M128" s="24">
        <f t="shared" si="18"/>
        <v>43.75</v>
      </c>
      <c r="N128" s="24">
        <f t="shared" si="18"/>
        <v>1163.811047757576</v>
      </c>
      <c r="P128" s="30">
        <f t="shared" ref="P128:P129" si="22">D128*$D$8</f>
        <v>80000</v>
      </c>
      <c r="Q128" s="29">
        <f>Q127</f>
        <v>28486.06</v>
      </c>
      <c r="R128" s="29">
        <f t="shared" ref="R128:R129" si="23">P128+Q128</f>
        <v>108486.06</v>
      </c>
      <c r="S128" s="249">
        <f t="shared" ref="S128:S129" si="24">$J$31/365</f>
        <v>0.81710917393109173</v>
      </c>
      <c r="T128" s="255">
        <f t="shared" ref="T128:T129" si="25">$M$71</f>
        <v>3780</v>
      </c>
      <c r="U128" s="250">
        <f t="shared" ref="U128:U129" si="26">R128*S128+T128</f>
        <v>92424.954869638852</v>
      </c>
      <c r="W128" s="17">
        <f t="shared" ref="W128:W129" si="27">P128+Q128*2+K128</f>
        <v>141448.11774348194</v>
      </c>
      <c r="X128" s="183">
        <f t="shared" ref="X128:X129" si="28">P128/W128</f>
        <v>0.56557839917729458</v>
      </c>
    </row>
    <row r="129" spans="2:24" ht="15" x14ac:dyDescent="0.35">
      <c r="B129" s="2"/>
      <c r="C129" s="24">
        <f>C128+C121</f>
        <v>170</v>
      </c>
      <c r="D129" s="24">
        <f t="shared" si="19"/>
        <v>850</v>
      </c>
      <c r="E129" s="24">
        <f>(D129*$D$8+$C$117+$K129+$C$116+$C$118+$D$119)/$C$81</f>
        <v>1680.8995624640709</v>
      </c>
      <c r="F129" s="196">
        <f>(($D$119+K129)/U129)</f>
        <v>0.13602949872188916</v>
      </c>
      <c r="G129" s="216">
        <f t="shared" si="20"/>
        <v>0.57960185361156347</v>
      </c>
      <c r="J129" s="10">
        <f t="shared" si="21"/>
        <v>55.400982918616435</v>
      </c>
      <c r="K129" s="24">
        <f>L129+M129+N129</f>
        <v>4680.2750369647165</v>
      </c>
      <c r="L129" s="20">
        <f>(($D129)*($C$67*0.01))*($J$31/365)*$D$8</f>
        <v>3472.71398920714</v>
      </c>
      <c r="M129" s="24">
        <f t="shared" si="18"/>
        <v>43.75</v>
      </c>
      <c r="N129" s="24">
        <f t="shared" si="18"/>
        <v>1163.811047757576</v>
      </c>
      <c r="P129" s="30">
        <f t="shared" si="22"/>
        <v>85000</v>
      </c>
      <c r="Q129" s="29">
        <f>Q128</f>
        <v>28486.06</v>
      </c>
      <c r="R129" s="29">
        <f t="shared" si="23"/>
        <v>113486.06</v>
      </c>
      <c r="S129" s="249">
        <f t="shared" si="24"/>
        <v>0.81710917393109173</v>
      </c>
      <c r="T129" s="255">
        <f t="shared" si="25"/>
        <v>3780</v>
      </c>
      <c r="U129" s="250">
        <f t="shared" si="26"/>
        <v>96510.500739294308</v>
      </c>
      <c r="W129" s="17">
        <f t="shared" si="27"/>
        <v>146652.39503696471</v>
      </c>
      <c r="X129" s="183">
        <f t="shared" si="28"/>
        <v>0.57960185361156347</v>
      </c>
    </row>
    <row r="130" spans="2:24" ht="15" x14ac:dyDescent="0.35">
      <c r="B130" s="21" t="s">
        <v>272</v>
      </c>
      <c r="C130" s="24"/>
      <c r="D130" s="24"/>
      <c r="E130" s="24"/>
      <c r="F130" s="196"/>
      <c r="G130" s="186"/>
      <c r="J130" s="10"/>
      <c r="K130" s="24"/>
      <c r="L130" s="20"/>
      <c r="M130" s="24"/>
      <c r="N130" s="24"/>
      <c r="P130" s="30"/>
      <c r="Q130" s="29"/>
      <c r="R130" s="29"/>
      <c r="S130" s="249"/>
      <c r="T130" s="255"/>
      <c r="U130" s="250"/>
      <c r="W130" s="17"/>
      <c r="X130" s="183"/>
    </row>
    <row r="131" spans="2:24" ht="15" x14ac:dyDescent="0.35">
      <c r="B131" s="2"/>
      <c r="C131" s="2"/>
      <c r="D131" s="2"/>
      <c r="E131" s="2"/>
      <c r="F131" s="2"/>
      <c r="G131" s="2"/>
      <c r="H131" s="2"/>
      <c r="I131" s="2"/>
      <c r="K131" t="s">
        <v>249</v>
      </c>
      <c r="M131" t="s">
        <v>250</v>
      </c>
    </row>
    <row r="132" spans="2:24" ht="15" x14ac:dyDescent="0.35">
      <c r="J132" s="12">
        <f>D86</f>
        <v>1543.75</v>
      </c>
      <c r="K132" s="51">
        <f>E127-J132</f>
        <v>13.94224017517945</v>
      </c>
      <c r="L132" s="29">
        <f>D40</f>
        <v>0</v>
      </c>
      <c r="M132" s="51">
        <f>K132-L132</f>
        <v>13.94224017517945</v>
      </c>
      <c r="U132" s="21" t="s">
        <v>96</v>
      </c>
    </row>
    <row r="134" spans="2:24" x14ac:dyDescent="0.3">
      <c r="J134" s="21" t="s">
        <v>227</v>
      </c>
      <c r="K134" s="26">
        <f>D125</f>
        <v>650</v>
      </c>
      <c r="L134" s="26">
        <f>D126</f>
        <v>700</v>
      </c>
      <c r="M134" s="26">
        <f>D127</f>
        <v>750</v>
      </c>
      <c r="N134" s="26">
        <f>D128</f>
        <v>800</v>
      </c>
      <c r="O134" s="26">
        <f>D129</f>
        <v>850</v>
      </c>
    </row>
    <row r="135" spans="2:24" x14ac:dyDescent="0.3">
      <c r="J135" s="21" t="s">
        <v>228</v>
      </c>
      <c r="K135" s="26">
        <f>E125</f>
        <v>1434.484917886288</v>
      </c>
      <c r="L135" s="26">
        <f>E126</f>
        <v>1496.0885790307339</v>
      </c>
      <c r="M135" s="26">
        <f>E127</f>
        <v>1557.6922401751794</v>
      </c>
      <c r="N135" s="26">
        <f>E128</f>
        <v>1619.2959013196253</v>
      </c>
      <c r="O135" s="26">
        <f>E129</f>
        <v>1680.8995624640709</v>
      </c>
    </row>
    <row r="166" spans="2:7" x14ac:dyDescent="0.3">
      <c r="B166" s="1" t="s">
        <v>263</v>
      </c>
    </row>
    <row r="167" spans="2:7" ht="50.15" customHeight="1" x14ac:dyDescent="0.3">
      <c r="B167" s="466" t="s">
        <v>261</v>
      </c>
      <c r="C167" s="467"/>
      <c r="D167" s="467"/>
      <c r="E167" s="467"/>
      <c r="F167" s="467"/>
      <c r="G167" s="467"/>
    </row>
    <row r="168" spans="2:7" ht="14.15" x14ac:dyDescent="0.3">
      <c r="B168" s="262"/>
    </row>
    <row r="169" spans="2:7" ht="75" customHeight="1" x14ac:dyDescent="0.3">
      <c r="B169" s="464" t="s">
        <v>262</v>
      </c>
      <c r="C169" s="463"/>
      <c r="D169" s="463"/>
      <c r="E169" s="463"/>
      <c r="F169" s="463"/>
      <c r="G169" s="463"/>
    </row>
    <row r="170" spans="2:7" ht="15.45" x14ac:dyDescent="0.3">
      <c r="B170" s="263"/>
    </row>
  </sheetData>
  <sheetProtection sheet="1" objects="1" scenarios="1"/>
  <mergeCells count="7">
    <mergeCell ref="B169:G169"/>
    <mergeCell ref="B1:G1"/>
    <mergeCell ref="C123:D123"/>
    <mergeCell ref="B167:G167"/>
    <mergeCell ref="B56:C56"/>
    <mergeCell ref="B57:C57"/>
    <mergeCell ref="C3:F3"/>
  </mergeCells>
  <phoneticPr fontId="5" type="noConversion"/>
  <pageMargins left="1" right="0.5" top="1" bottom="1" header="0.5" footer="0.5"/>
  <pageSetup scale="71" orientation="portrait" horizontalDpi="1200" verticalDpi="1200" r:id="rId1"/>
  <headerFooter alignWithMargins="0">
    <oddFooter>&amp;L&amp;F
&amp;R&amp;A
Page &amp;P of &amp;N</oddFooter>
  </headerFooter>
  <rowBreaks count="2" manualBreakCount="2">
    <brk id="60" min="1" max="6" man="1"/>
    <brk id="110" min="1" max="6" man="1"/>
  </rowBreaks>
  <ignoredErrors>
    <ignoredError sqref="F54 C10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50"/>
  <sheetViews>
    <sheetView topLeftCell="A31" workbookViewId="0">
      <selection activeCell="B1" sqref="B1:E1"/>
    </sheetView>
  </sheetViews>
  <sheetFormatPr defaultRowHeight="12.45" x14ac:dyDescent="0.3"/>
  <cols>
    <col min="1" max="1" width="4.07421875" customWidth="1"/>
    <col min="2" max="2" width="46" customWidth="1"/>
    <col min="3" max="3" width="17.23046875" customWidth="1"/>
    <col min="4" max="4" width="19.53515625" customWidth="1"/>
    <col min="5" max="5" width="12.4609375" customWidth="1"/>
    <col min="6" max="6" width="3.23046875" customWidth="1"/>
    <col min="7" max="7" width="14.3046875" customWidth="1"/>
    <col min="8" max="8" width="17" customWidth="1"/>
  </cols>
  <sheetData>
    <row r="1" spans="2:8" ht="17.600000000000001" x14ac:dyDescent="0.4">
      <c r="B1" s="472" t="s">
        <v>204</v>
      </c>
      <c r="C1" s="457"/>
      <c r="D1" s="457"/>
      <c r="E1" s="463"/>
    </row>
    <row r="2" spans="2:8" ht="15.45" x14ac:dyDescent="0.4">
      <c r="B2" s="456" t="str">
        <f>'2.WeanedCalf to Sell Bred Heif '!C3</f>
        <v>Raised Angus heifers bred to low birth weight bulls</v>
      </c>
      <c r="C2" s="457"/>
      <c r="D2" s="457"/>
      <c r="E2" s="375"/>
    </row>
    <row r="3" spans="2:8" ht="15.45" x14ac:dyDescent="0.4">
      <c r="B3" s="393"/>
      <c r="C3" s="394"/>
      <c r="D3" s="394"/>
      <c r="E3" s="395"/>
    </row>
    <row r="4" spans="2:8" ht="15.45" x14ac:dyDescent="0.4">
      <c r="B4" s="277" t="s">
        <v>169</v>
      </c>
      <c r="C4" s="3" t="str">
        <f>'2.WeanedCalf to Sell Bred Heif '!F5</f>
        <v>Conventional AI</v>
      </c>
      <c r="D4" s="3" t="str">
        <f>IF('2.WeanedCalf to Sell Bred Heif '!E5=1,'2.WeanedCalf to Sell Bred Heif '!F6," ")</f>
        <v>Heat Detection AI</v>
      </c>
    </row>
    <row r="5" spans="2:8" ht="15" x14ac:dyDescent="0.35">
      <c r="B5" s="2" t="s">
        <v>65</v>
      </c>
      <c r="C5" s="214">
        <f>'1. Dates&amp;Descripitions'!C7</f>
        <v>43753</v>
      </c>
    </row>
    <row r="6" spans="2:8" ht="15" x14ac:dyDescent="0.35">
      <c r="B6" s="2" t="s">
        <v>187</v>
      </c>
      <c r="C6" s="215">
        <f>'2.WeanedCalf to Sell Bred Heif '!D8</f>
        <v>100</v>
      </c>
    </row>
    <row r="7" spans="2:8" ht="15" x14ac:dyDescent="0.35">
      <c r="B7" s="2" t="s">
        <v>195</v>
      </c>
      <c r="C7" s="215">
        <f>'2.WeanedCalf to Sell Bred Heif '!K10</f>
        <v>500</v>
      </c>
    </row>
    <row r="8" spans="2:8" ht="15" x14ac:dyDescent="0.35">
      <c r="B8" s="2" t="s">
        <v>161</v>
      </c>
      <c r="C8" s="214">
        <f>'1. Dates&amp;Descripitions'!C8</f>
        <v>43525</v>
      </c>
      <c r="E8" s="1"/>
    </row>
    <row r="9" spans="2:8" ht="15" x14ac:dyDescent="0.35">
      <c r="B9" s="2" t="s">
        <v>66</v>
      </c>
      <c r="C9" s="214">
        <f>'1. Dates&amp;Descripitions'!C13</f>
        <v>43952</v>
      </c>
    </row>
    <row r="10" spans="2:8" ht="15" x14ac:dyDescent="0.35">
      <c r="B10" s="2" t="s">
        <v>4</v>
      </c>
      <c r="C10" s="260">
        <f>'2.WeanedCalf to Sell Bred Heif '!C16*0.01</f>
        <v>0.01</v>
      </c>
    </row>
    <row r="11" spans="2:8" ht="15" x14ac:dyDescent="0.35">
      <c r="B11" s="2" t="s">
        <v>259</v>
      </c>
      <c r="C11" s="261">
        <f>'2.WeanedCalf to Sell Bred Heif '!I19</f>
        <v>1.3039249156004964</v>
      </c>
    </row>
    <row r="12" spans="2:8" ht="15" x14ac:dyDescent="0.35">
      <c r="B12" s="2" t="str">
        <f>'2.WeanedCalf to Sell Bred Heif '!B17</f>
        <v>Number of Heifers Exposed</v>
      </c>
      <c r="C12" s="7">
        <f>'2.WeanedCalf to Sell Bred Heif '!C17</f>
        <v>96</v>
      </c>
    </row>
    <row r="13" spans="2:8" ht="15" x14ac:dyDescent="0.35">
      <c r="B13" s="2" t="s">
        <v>70</v>
      </c>
      <c r="C13" s="215">
        <f>'2.WeanedCalf to Sell Bred Heif '!C27</f>
        <v>60</v>
      </c>
    </row>
    <row r="14" spans="2:8" ht="15" x14ac:dyDescent="0.35">
      <c r="B14" s="2" t="s">
        <v>2</v>
      </c>
      <c r="C14" s="215">
        <f>'2.WeanedCalf to Sell Bred Heif '!C28</f>
        <v>45</v>
      </c>
    </row>
    <row r="15" spans="2:8" ht="15" x14ac:dyDescent="0.35">
      <c r="B15" s="2" t="s">
        <v>30</v>
      </c>
      <c r="C15" s="214">
        <f>'1. Dates&amp;Descripitions'!C19</f>
        <v>44044</v>
      </c>
    </row>
    <row r="16" spans="2:8" ht="15" x14ac:dyDescent="0.35">
      <c r="B16" s="2" t="s">
        <v>209</v>
      </c>
      <c r="C16" s="182">
        <f>C17-C5</f>
        <v>304</v>
      </c>
      <c r="G16" s="35"/>
      <c r="H16" s="21"/>
    </row>
    <row r="17" spans="2:8" ht="15" x14ac:dyDescent="0.35">
      <c r="B17" s="2" t="s">
        <v>57</v>
      </c>
      <c r="C17" s="18">
        <f>C9+C13+C14</f>
        <v>44057</v>
      </c>
      <c r="G17" s="21"/>
      <c r="H17" s="21"/>
    </row>
    <row r="18" spans="2:8" ht="15" x14ac:dyDescent="0.35">
      <c r="B18" s="2" t="s">
        <v>0</v>
      </c>
      <c r="C18" s="8">
        <f>C9+283</f>
        <v>44235</v>
      </c>
      <c r="G18" s="35"/>
      <c r="H18" s="35"/>
    </row>
    <row r="19" spans="2:8" ht="15.45" x14ac:dyDescent="0.4">
      <c r="B19" s="3" t="s">
        <v>207</v>
      </c>
      <c r="C19" s="114">
        <f>IF('2.WeanedCalf to Sell Bred Heif '!E5=2,"Natural Service",IF('2.WeanedCalf to Sell Bred Heif '!E6=1,'4.Conventional AI BreedingCost'!D10,'4.Conventional AI BreedingCost'!D56)*0.01)</f>
        <v>0.55000000000000004</v>
      </c>
    </row>
    <row r="20" spans="2:8" ht="15.45" x14ac:dyDescent="0.4">
      <c r="B20" s="3" t="s">
        <v>208</v>
      </c>
      <c r="C20" s="114">
        <f>'2.WeanedCalf to Sell Bred Heif '!D19*0.01</f>
        <v>0.88</v>
      </c>
      <c r="G20" s="3"/>
    </row>
    <row r="21" spans="2:8" ht="15.45" x14ac:dyDescent="0.4">
      <c r="B21" s="3" t="s">
        <v>52</v>
      </c>
      <c r="C21" s="76" t="s">
        <v>21</v>
      </c>
      <c r="D21" s="76" t="s">
        <v>252</v>
      </c>
      <c r="E21" s="76" t="s">
        <v>41</v>
      </c>
      <c r="G21" s="279"/>
      <c r="H21" s="278"/>
    </row>
    <row r="22" spans="2:8" ht="15" x14ac:dyDescent="0.35">
      <c r="B22" s="2" t="s">
        <v>116</v>
      </c>
      <c r="C22" s="133">
        <f>'2.WeanedCalf to Sell Bred Heif '!C34</f>
        <v>3</v>
      </c>
      <c r="D22" s="12">
        <f>'2.WeanedCalf to Sell Bred Heif '!D34</f>
        <v>910</v>
      </c>
      <c r="E22" s="12">
        <f>'2.WeanedCalf to Sell Bred Heif '!E34</f>
        <v>130</v>
      </c>
      <c r="G22" s="2"/>
      <c r="H22" s="8"/>
    </row>
    <row r="23" spans="2:8" ht="15" x14ac:dyDescent="0.35">
      <c r="B23" s="2" t="s">
        <v>117</v>
      </c>
      <c r="C23" s="133">
        <f>'2.WeanedCalf to Sell Bred Heif '!C35</f>
        <v>11.519999999999996</v>
      </c>
      <c r="D23" s="12">
        <f>'2.WeanedCalf to Sell Bred Heif '!D35</f>
        <v>900</v>
      </c>
      <c r="E23" s="12">
        <f>'2.WeanedCalf to Sell Bred Heif '!E35</f>
        <v>100</v>
      </c>
      <c r="G23" s="2"/>
      <c r="H23" s="8"/>
    </row>
    <row r="24" spans="2:8" ht="15" x14ac:dyDescent="0.35">
      <c r="B24" s="2" t="s">
        <v>397</v>
      </c>
      <c r="C24" s="133">
        <f>'2.WeanedCalf to Sell Bred Heif '!J35</f>
        <v>52.800000000000004</v>
      </c>
      <c r="D24" s="12">
        <f>'2.WeanedCalf to Sell Bred Heif '!D36</f>
        <v>1600</v>
      </c>
      <c r="G24" s="2"/>
      <c r="H24" s="7"/>
    </row>
    <row r="25" spans="2:8" ht="15" x14ac:dyDescent="0.35">
      <c r="B25" s="2" t="s">
        <v>418</v>
      </c>
      <c r="C25" s="133">
        <f>'2.WeanedCalf to Sell Bred Heif '!C38</f>
        <v>0</v>
      </c>
      <c r="D25" s="12">
        <f>'2.WeanedCalf to Sell Bred Heif '!D38</f>
        <v>0</v>
      </c>
      <c r="G25" s="2"/>
      <c r="H25" s="8"/>
    </row>
    <row r="26" spans="2:8" ht="15" x14ac:dyDescent="0.35">
      <c r="B26" s="2" t="s">
        <v>121</v>
      </c>
      <c r="C26" s="133">
        <f>'2.WeanedCalf to Sell Bred Heif '!C40</f>
        <v>84.48</v>
      </c>
      <c r="D26" s="12">
        <f>'2.WeanedCalf to Sell Bred Heif '!D40</f>
        <v>0</v>
      </c>
      <c r="G26" s="2"/>
      <c r="H26" s="8"/>
    </row>
    <row r="27" spans="2:8" ht="15.45" x14ac:dyDescent="0.4">
      <c r="B27" s="222" t="s">
        <v>122</v>
      </c>
      <c r="C27" s="224">
        <f>'2.WeanedCalf to Sell Bred Heif '!C41</f>
        <v>99</v>
      </c>
      <c r="D27" s="223">
        <f>'2.WeanedCalf to Sell Bred Heif '!D41</f>
        <v>1449.6363636363637</v>
      </c>
      <c r="G27" s="2"/>
      <c r="H27" s="216"/>
    </row>
    <row r="28" spans="2:8" ht="15.45" x14ac:dyDescent="0.4">
      <c r="B28" s="75" t="s">
        <v>398</v>
      </c>
      <c r="D28" s="16">
        <f>D24-D23</f>
        <v>700</v>
      </c>
      <c r="G28" s="2"/>
      <c r="H28" s="61"/>
    </row>
    <row r="29" spans="2:8" ht="15.45" x14ac:dyDescent="0.4">
      <c r="B29" s="3" t="s">
        <v>124</v>
      </c>
      <c r="C29" s="76" t="s">
        <v>188</v>
      </c>
      <c r="D29" s="76" t="s">
        <v>260</v>
      </c>
      <c r="G29" s="2"/>
      <c r="H29" s="216"/>
    </row>
    <row r="30" spans="2:8" ht="15" x14ac:dyDescent="0.35">
      <c r="B30" s="2" t="s">
        <v>136</v>
      </c>
      <c r="C30" s="12">
        <f>'2.WeanedCalf to Sell Bred Heif '!C92</f>
        <v>887.78409090909088</v>
      </c>
      <c r="D30" s="216">
        <f>'2.WeanedCalf to Sell Bred Heif '!D92</f>
        <v>0.60863074193559141</v>
      </c>
      <c r="G30" s="87"/>
      <c r="H30" s="12"/>
    </row>
    <row r="31" spans="2:8" ht="15" x14ac:dyDescent="0.35">
      <c r="B31" s="2" t="s">
        <v>102</v>
      </c>
      <c r="C31" s="12">
        <f>'2.WeanedCalf to Sell Bred Heif '!C93</f>
        <v>-155.0426136363636</v>
      </c>
      <c r="D31" s="216">
        <f>'2.WeanedCalf to Sell Bred Heif '!D93</f>
        <v>-0.10629127277163165</v>
      </c>
      <c r="G31" s="87"/>
      <c r="H31" s="12"/>
    </row>
    <row r="32" spans="2:8" ht="15.65" customHeight="1" x14ac:dyDescent="0.4">
      <c r="B32" s="2"/>
      <c r="C32" s="12"/>
      <c r="D32" s="240" t="s">
        <v>399</v>
      </c>
      <c r="G32" s="87"/>
      <c r="H32" s="12"/>
    </row>
    <row r="33" spans="2:8" ht="15.45" x14ac:dyDescent="0.4">
      <c r="B33" s="3" t="s">
        <v>141</v>
      </c>
      <c r="C33" s="16">
        <f>'2.WeanedCalf to Sell Bred Heif '!C95</f>
        <v>732.74147727272725</v>
      </c>
      <c r="D33" s="240">
        <f t="shared" ref="D33:D39" si="0">C33/$C$40</f>
        <v>0.50233946916395966</v>
      </c>
      <c r="H33" s="256"/>
    </row>
    <row r="34" spans="2:8" ht="15" x14ac:dyDescent="0.35">
      <c r="B34" s="66" t="s">
        <v>108</v>
      </c>
      <c r="C34" s="12">
        <f>'2.WeanedCalf to Sell Bred Heif '!C96</f>
        <v>373.16524621212119</v>
      </c>
      <c r="D34" s="216">
        <f t="shared" si="0"/>
        <v>0.25582778852692689</v>
      </c>
      <c r="G34" s="87"/>
      <c r="H34" s="216"/>
    </row>
    <row r="35" spans="2:8" ht="15" x14ac:dyDescent="0.35">
      <c r="B35" s="66" t="s">
        <v>110</v>
      </c>
      <c r="C35" s="12">
        <f>'2.WeanedCalf to Sell Bred Heif '!C97</f>
        <v>14.204545454545453</v>
      </c>
      <c r="D35" s="216">
        <f t="shared" si="0"/>
        <v>9.7380918709694606E-3</v>
      </c>
      <c r="G35" s="87"/>
      <c r="H35" s="216"/>
    </row>
    <row r="36" spans="2:8" ht="15" x14ac:dyDescent="0.35">
      <c r="B36" s="2" t="s">
        <v>191</v>
      </c>
      <c r="C36" s="12">
        <f>'2.WeanedCalf to Sell Bred Heif '!C98</f>
        <v>0</v>
      </c>
      <c r="D36" s="216">
        <f t="shared" si="0"/>
        <v>0</v>
      </c>
      <c r="G36" s="87"/>
      <c r="H36" s="216"/>
    </row>
    <row r="37" spans="2:8" ht="15.45" x14ac:dyDescent="0.4">
      <c r="B37" s="222" t="s">
        <v>168</v>
      </c>
      <c r="C37" s="223">
        <f>'2.WeanedCalf to Sell Bred Heif '!C99+'2.WeanedCalf to Sell Bred Heif '!C100</f>
        <v>112.78113162878786</v>
      </c>
      <c r="D37" s="421">
        <f t="shared" si="0"/>
        <v>7.7318420686357733E-2</v>
      </c>
      <c r="G37" s="87"/>
      <c r="H37" s="216"/>
    </row>
    <row r="38" spans="2:8" ht="15.45" x14ac:dyDescent="0.4">
      <c r="B38" s="2" t="s">
        <v>185</v>
      </c>
      <c r="C38" s="12">
        <f>'2.WeanedCalf to Sell Bred Heif '!C103</f>
        <v>174.75284090909091</v>
      </c>
      <c r="D38" s="216">
        <f t="shared" si="0"/>
        <v>0.11980384905178891</v>
      </c>
      <c r="G38" s="75"/>
      <c r="H38" s="240"/>
    </row>
    <row r="39" spans="2:8" ht="15" x14ac:dyDescent="0.35">
      <c r="B39" s="2" t="s">
        <v>190</v>
      </c>
      <c r="C39" s="12">
        <f>'2.WeanedCalf to Sell Bred Heif '!C102</f>
        <v>51.012742320464923</v>
      </c>
      <c r="D39" s="216">
        <f t="shared" si="0"/>
        <v>3.4972380699997266E-2</v>
      </c>
      <c r="G39" s="87"/>
      <c r="H39" s="216"/>
    </row>
    <row r="40" spans="2:8" ht="15.45" x14ac:dyDescent="0.4">
      <c r="B40" s="222" t="s">
        <v>109</v>
      </c>
      <c r="C40" s="223">
        <f>SUM(C33:C39)</f>
        <v>1458.6579837977376</v>
      </c>
      <c r="D40" s="216">
        <f>C40/$C$40</f>
        <v>1</v>
      </c>
      <c r="E40" s="186"/>
      <c r="F40" s="29"/>
      <c r="G40" s="398"/>
      <c r="H40" s="10"/>
    </row>
    <row r="41" spans="2:8" ht="15" x14ac:dyDescent="0.35">
      <c r="B41" s="216"/>
      <c r="C41" s="216"/>
      <c r="D41" s="216"/>
      <c r="G41" s="87"/>
      <c r="H41" s="12"/>
    </row>
    <row r="42" spans="2:8" ht="15.45" x14ac:dyDescent="0.4">
      <c r="B42" s="222" t="s">
        <v>251</v>
      </c>
      <c r="C42" s="225">
        <f>'2.WeanedCalf to Sell Bred Heif '!C107</f>
        <v>2.3878832451480605</v>
      </c>
      <c r="G42" s="87"/>
      <c r="H42" s="120"/>
    </row>
    <row r="43" spans="2:8" ht="8.15" customHeight="1" x14ac:dyDescent="0.35">
      <c r="G43" s="87"/>
      <c r="H43" s="12"/>
    </row>
    <row r="44" spans="2:8" ht="15.45" x14ac:dyDescent="0.4">
      <c r="B44" s="75" t="s">
        <v>177</v>
      </c>
      <c r="C44" s="16">
        <f>'2.WeanedCalf to Sell Bred Heif '!D86</f>
        <v>1543.75</v>
      </c>
      <c r="G44" s="87"/>
      <c r="H44" s="12"/>
    </row>
    <row r="45" spans="2:8" ht="8.15" customHeight="1" x14ac:dyDescent="0.35">
      <c r="B45" s="70"/>
      <c r="C45" s="2"/>
      <c r="G45" s="87"/>
      <c r="H45" s="216"/>
    </row>
    <row r="46" spans="2:8" ht="15.45" x14ac:dyDescent="0.4">
      <c r="B46" s="222" t="s">
        <v>147</v>
      </c>
      <c r="C46" s="232">
        <f>'2.WeanedCalf to Sell Bred Heif '!D88</f>
        <v>85.092016202262386</v>
      </c>
    </row>
    <row r="47" spans="2:8" ht="8.15" customHeight="1" x14ac:dyDescent="0.35">
      <c r="B47" s="70"/>
      <c r="C47" s="2"/>
    </row>
    <row r="48" spans="2:8" ht="15.45" x14ac:dyDescent="0.4">
      <c r="B48" s="75" t="s">
        <v>189</v>
      </c>
      <c r="C48" s="200">
        <f>'2.WeanedCalf to Sell Bred Heif '!F74</f>
        <v>0.13065380593617254</v>
      </c>
      <c r="G48" s="60" t="s">
        <v>239</v>
      </c>
    </row>
    <row r="49" spans="2:3" ht="15.45" x14ac:dyDescent="0.4">
      <c r="B49" s="21" t="s">
        <v>142</v>
      </c>
      <c r="C49" s="200"/>
    </row>
    <row r="50" spans="2:3" ht="15.45" x14ac:dyDescent="0.4">
      <c r="C50" s="200"/>
    </row>
  </sheetData>
  <sheetProtection sheet="1" objects="1" scenarios="1"/>
  <mergeCells count="2">
    <mergeCell ref="B1:E1"/>
    <mergeCell ref="B2:D2"/>
  </mergeCells>
  <pageMargins left="0.95" right="0.45" top="0.75" bottom="0.75" header="0.3" footer="0.3"/>
  <pageSetup scale="70" orientation="portrait" r:id="rId1"/>
  <headerFoot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088AA-900C-4088-9D88-458947E85010}">
  <dimension ref="A1:M93"/>
  <sheetViews>
    <sheetView topLeftCell="A27" zoomScaleNormal="100" workbookViewId="0">
      <selection activeCell="E31" sqref="E31"/>
    </sheetView>
  </sheetViews>
  <sheetFormatPr defaultRowHeight="12.45" x14ac:dyDescent="0.3"/>
  <cols>
    <col min="1" max="1" width="4.07421875" customWidth="1"/>
    <col min="2" max="2" width="43.3046875" customWidth="1"/>
    <col min="4" max="4" width="16.84375" customWidth="1"/>
    <col min="5" max="5" width="12" customWidth="1"/>
    <col min="6" max="6" width="12.07421875" customWidth="1"/>
    <col min="7" max="7" width="11.84375" customWidth="1"/>
    <col min="8" max="8" width="14.765625" customWidth="1"/>
    <col min="11" max="11" width="12.23046875" customWidth="1"/>
  </cols>
  <sheetData>
    <row r="1" spans="2:13" ht="17.600000000000001" x14ac:dyDescent="0.4">
      <c r="B1" s="472" t="s">
        <v>339</v>
      </c>
      <c r="C1" s="473"/>
      <c r="D1" s="473"/>
      <c r="E1" s="473"/>
      <c r="F1" s="473"/>
      <c r="G1" s="473"/>
      <c r="H1" s="473"/>
      <c r="M1" s="70"/>
    </row>
    <row r="2" spans="2:13" ht="17.600000000000001" x14ac:dyDescent="0.4">
      <c r="B2" s="346"/>
      <c r="C2" s="347"/>
      <c r="D2" s="347"/>
      <c r="E2" s="347"/>
      <c r="F2" s="347"/>
      <c r="G2" s="347"/>
      <c r="H2" s="347"/>
      <c r="M2" s="70"/>
    </row>
    <row r="3" spans="2:13" ht="17.600000000000001" x14ac:dyDescent="0.4">
      <c r="B3" s="472" t="s">
        <v>340</v>
      </c>
      <c r="C3" s="473"/>
      <c r="D3" s="473"/>
      <c r="E3" s="473"/>
      <c r="F3" s="473"/>
      <c r="G3" s="473"/>
      <c r="H3" s="56"/>
      <c r="M3" s="70"/>
    </row>
    <row r="4" spans="2:13" ht="15.45" x14ac:dyDescent="0.4">
      <c r="B4" s="345"/>
      <c r="C4" s="56"/>
      <c r="D4" s="56"/>
      <c r="E4" s="56"/>
      <c r="F4" s="56"/>
      <c r="G4" s="56"/>
      <c r="H4" s="56"/>
      <c r="M4" s="70"/>
    </row>
    <row r="5" spans="2:13" ht="15.45" x14ac:dyDescent="0.4">
      <c r="B5" s="3" t="s">
        <v>75</v>
      </c>
      <c r="C5" s="474" t="s">
        <v>341</v>
      </c>
      <c r="D5" s="475"/>
      <c r="E5" s="475"/>
      <c r="F5" s="475"/>
      <c r="G5" s="475"/>
      <c r="H5" s="476"/>
      <c r="M5" s="70"/>
    </row>
    <row r="6" spans="2:13" ht="15.45" x14ac:dyDescent="0.4">
      <c r="B6" s="3"/>
      <c r="C6" s="348"/>
      <c r="D6" s="349"/>
      <c r="E6" s="349"/>
      <c r="F6" s="349"/>
      <c r="G6" s="349"/>
      <c r="H6" s="349"/>
      <c r="M6" s="70"/>
    </row>
    <row r="7" spans="2:13" ht="15.45" x14ac:dyDescent="0.4">
      <c r="B7" s="3" t="s">
        <v>137</v>
      </c>
      <c r="C7" s="341"/>
      <c r="D7" s="350">
        <f>'2.WeanedCalf to Sell Bred Heif '!C17</f>
        <v>96</v>
      </c>
      <c r="E7" s="310"/>
      <c r="H7" s="310"/>
      <c r="J7" s="21"/>
      <c r="M7" s="70"/>
    </row>
    <row r="8" spans="2:13" ht="15.45" x14ac:dyDescent="0.4">
      <c r="B8" s="3"/>
      <c r="C8" s="341"/>
      <c r="D8" s="350"/>
      <c r="E8" s="310"/>
      <c r="H8" s="310"/>
      <c r="J8" s="21"/>
      <c r="M8" s="70"/>
    </row>
    <row r="9" spans="2:13" ht="15.45" x14ac:dyDescent="0.4">
      <c r="B9" s="3" t="s">
        <v>111</v>
      </c>
      <c r="D9" s="351">
        <v>88</v>
      </c>
      <c r="E9" s="310"/>
      <c r="H9" s="310"/>
      <c r="J9" s="61"/>
      <c r="K9" s="2"/>
      <c r="M9" s="70"/>
    </row>
    <row r="10" spans="2:13" ht="15.45" x14ac:dyDescent="0.4">
      <c r="B10" s="2" t="s">
        <v>342</v>
      </c>
      <c r="D10" s="351">
        <v>55</v>
      </c>
      <c r="E10" s="3" t="str">
        <f>'2.WeanedCalf to Sell Bred Heif '!F6</f>
        <v>Heat Detection AI</v>
      </c>
      <c r="H10" s="310"/>
      <c r="J10" s="61"/>
      <c r="K10" s="2"/>
      <c r="M10" s="70"/>
    </row>
    <row r="11" spans="2:13" ht="15.45" x14ac:dyDescent="0.4">
      <c r="B11" s="75" t="s">
        <v>76</v>
      </c>
      <c r="D11" s="69" t="s">
        <v>343</v>
      </c>
      <c r="E11" s="69"/>
      <c r="F11" s="69" t="s">
        <v>77</v>
      </c>
      <c r="I11" s="29"/>
      <c r="J11" s="352"/>
      <c r="K11" s="120"/>
      <c r="M11" s="70"/>
    </row>
    <row r="12" spans="2:13" ht="15" x14ac:dyDescent="0.35">
      <c r="B12" s="2" t="s">
        <v>344</v>
      </c>
      <c r="D12" s="102">
        <f>D7</f>
        <v>96</v>
      </c>
      <c r="E12" s="7"/>
      <c r="F12" s="7">
        <f>D12-D19</f>
        <v>43.199999999999996</v>
      </c>
      <c r="H12" s="2"/>
      <c r="M12" s="70"/>
    </row>
    <row r="13" spans="2:13" ht="15" x14ac:dyDescent="0.35">
      <c r="B13" s="2" t="s">
        <v>345</v>
      </c>
      <c r="C13" s="353"/>
      <c r="D13" s="102">
        <f>D10</f>
        <v>55</v>
      </c>
      <c r="E13" s="353"/>
      <c r="F13" s="354">
        <f>((D12*D9*0.01-D17)/(D12-D19))*100</f>
        <v>73.333333333333343</v>
      </c>
      <c r="J13" s="7"/>
      <c r="K13" s="2"/>
      <c r="M13" s="70"/>
    </row>
    <row r="14" spans="2:13" ht="15.45" x14ac:dyDescent="0.4">
      <c r="B14" s="2"/>
      <c r="C14" s="2"/>
      <c r="D14" s="113" t="s">
        <v>473</v>
      </c>
      <c r="E14" s="355"/>
      <c r="F14" s="113" t="s">
        <v>79</v>
      </c>
      <c r="G14" s="355" t="s">
        <v>80</v>
      </c>
      <c r="H14" s="113" t="s">
        <v>346</v>
      </c>
      <c r="M14" s="70"/>
    </row>
    <row r="15" spans="2:13" ht="15.45" x14ac:dyDescent="0.4">
      <c r="B15" s="2" t="s">
        <v>347</v>
      </c>
      <c r="C15" s="2" t="s">
        <v>81</v>
      </c>
      <c r="D15" s="254">
        <f>(($D$13*0.01*(100-50)*0.01*$D$12))</f>
        <v>26.400000000000002</v>
      </c>
      <c r="E15" s="254"/>
      <c r="F15" s="254">
        <f>(F12)*0.5*0.01*$F$13</f>
        <v>15.84</v>
      </c>
      <c r="G15" s="7">
        <f>D15+F15</f>
        <v>42.24</v>
      </c>
      <c r="H15" s="114">
        <f>IF(G17=0,0,G15/$G$17)</f>
        <v>0.5</v>
      </c>
      <c r="M15" s="70"/>
    </row>
    <row r="16" spans="2:13" ht="15.45" x14ac:dyDescent="0.4">
      <c r="B16" s="2"/>
      <c r="C16" s="2" t="s">
        <v>74</v>
      </c>
      <c r="D16" s="254">
        <f>(($D$13*0.01*(100-50)*0.01*$D$12))</f>
        <v>26.400000000000002</v>
      </c>
      <c r="E16" s="254"/>
      <c r="F16" s="254">
        <f>(F12*0.5*0.01*$F$13)</f>
        <v>15.84</v>
      </c>
      <c r="G16" s="7">
        <f>D16+F16</f>
        <v>42.24</v>
      </c>
      <c r="H16" s="114">
        <f>IF(G17=0,0,G16/$G$17)</f>
        <v>0.5</v>
      </c>
      <c r="J16" s="29"/>
      <c r="M16" s="70"/>
    </row>
    <row r="17" spans="2:13" ht="15.45" x14ac:dyDescent="0.4">
      <c r="B17" s="2"/>
      <c r="C17" s="3" t="s">
        <v>80</v>
      </c>
      <c r="D17" s="356">
        <f>D15+D16</f>
        <v>52.800000000000004</v>
      </c>
      <c r="E17" s="356"/>
      <c r="F17" s="356">
        <f>F15+F16</f>
        <v>31.68</v>
      </c>
      <c r="G17" s="335">
        <f>G15+G16</f>
        <v>84.48</v>
      </c>
      <c r="H17" s="61"/>
      <c r="M17" s="70"/>
    </row>
    <row r="18" spans="2:13" ht="15.45" x14ac:dyDescent="0.4">
      <c r="C18" s="79"/>
      <c r="D18" s="80"/>
      <c r="E18" s="81" t="s">
        <v>348</v>
      </c>
      <c r="F18" s="80"/>
      <c r="G18" s="82" t="s">
        <v>349</v>
      </c>
      <c r="H18" s="82" t="s">
        <v>82</v>
      </c>
      <c r="I18" t="s">
        <v>350</v>
      </c>
      <c r="J18" s="70"/>
      <c r="K18" s="70"/>
      <c r="L18" s="70"/>
      <c r="M18" s="70"/>
    </row>
    <row r="19" spans="2:13" ht="15.45" x14ac:dyDescent="0.4">
      <c r="B19" s="79" t="s">
        <v>351</v>
      </c>
      <c r="C19" s="79"/>
      <c r="D19" s="37">
        <f>D15+D16</f>
        <v>52.800000000000004</v>
      </c>
      <c r="E19" s="114">
        <f>D17/G17</f>
        <v>0.625</v>
      </c>
      <c r="F19" s="37"/>
      <c r="G19" s="84">
        <f>SUM(D17:F17)</f>
        <v>84.48</v>
      </c>
      <c r="H19" s="83">
        <f>G19/D12</f>
        <v>0.88</v>
      </c>
      <c r="I19" s="7">
        <f>$D$7-G19</f>
        <v>11.519999999999996</v>
      </c>
      <c r="J19" s="85"/>
      <c r="K19" s="85"/>
      <c r="L19" s="86"/>
      <c r="M19" s="70"/>
    </row>
    <row r="20" spans="2:13" ht="15" x14ac:dyDescent="0.35">
      <c r="B20" s="90" t="s">
        <v>83</v>
      </c>
      <c r="C20" s="90"/>
      <c r="D20" s="90"/>
      <c r="E20" s="90"/>
      <c r="F20" s="90"/>
      <c r="G20" s="90"/>
      <c r="H20" s="90"/>
      <c r="I20" s="357"/>
      <c r="J20" s="70"/>
      <c r="K20" s="70"/>
      <c r="L20" s="70"/>
      <c r="M20" s="70"/>
    </row>
    <row r="21" spans="2:13" ht="15.45" x14ac:dyDescent="0.4">
      <c r="B21" s="3" t="s">
        <v>137</v>
      </c>
      <c r="C21" s="350">
        <f>D7</f>
        <v>96</v>
      </c>
      <c r="D21" s="345" t="s">
        <v>85</v>
      </c>
      <c r="E21" s="91"/>
      <c r="F21" s="137" t="s">
        <v>170</v>
      </c>
      <c r="G21" s="345" t="s">
        <v>6</v>
      </c>
      <c r="H21" s="345" t="s">
        <v>80</v>
      </c>
      <c r="I21" s="320"/>
      <c r="J21" s="70"/>
      <c r="K21" s="70"/>
      <c r="L21" s="70"/>
      <c r="M21" s="70"/>
    </row>
    <row r="22" spans="2:13" ht="15.45" x14ac:dyDescent="0.4">
      <c r="B22" s="358" t="s">
        <v>352</v>
      </c>
      <c r="C22" s="92" t="s">
        <v>86</v>
      </c>
      <c r="D22" s="345" t="s">
        <v>86</v>
      </c>
      <c r="E22" s="93" t="s">
        <v>87</v>
      </c>
      <c r="F22" s="345" t="s">
        <v>74</v>
      </c>
      <c r="G22" s="345" t="s">
        <v>89</v>
      </c>
      <c r="H22" s="345" t="s">
        <v>305</v>
      </c>
      <c r="I22" s="320"/>
      <c r="K22" s="70"/>
      <c r="L22" s="70"/>
      <c r="M22" s="70"/>
    </row>
    <row r="23" spans="2:13" ht="15" x14ac:dyDescent="0.35">
      <c r="B23" s="359" t="s">
        <v>353</v>
      </c>
      <c r="C23" s="9" t="s">
        <v>21</v>
      </c>
      <c r="D23" s="53">
        <f t="shared" ref="D23:D30" si="0">$C$21</f>
        <v>96</v>
      </c>
      <c r="E23" s="9">
        <v>5</v>
      </c>
      <c r="F23" s="94">
        <f>IF($C$21=0,0,H23/$C$21)</f>
        <v>5</v>
      </c>
      <c r="G23" s="61">
        <f>IF(H23=0," ",IF($H$38=0,0,H23/$H$44))</f>
        <v>5.0611556305356388E-2</v>
      </c>
      <c r="H23" s="95">
        <f>IF($C$21=0,0,D23*E23)</f>
        <v>480</v>
      </c>
      <c r="I23" s="320"/>
      <c r="J23" s="87"/>
      <c r="K23" s="70"/>
      <c r="L23" s="70"/>
      <c r="M23" s="70"/>
    </row>
    <row r="24" spans="2:13" ht="15" x14ac:dyDescent="0.35">
      <c r="B24" s="9" t="s">
        <v>354</v>
      </c>
      <c r="C24" s="9" t="s">
        <v>21</v>
      </c>
      <c r="D24" s="53">
        <f t="shared" si="0"/>
        <v>96</v>
      </c>
      <c r="E24" s="9">
        <v>10</v>
      </c>
      <c r="F24" s="94">
        <f t="shared" ref="F24:F37" si="1">IF($C$21=0,0,H24/$C$21)</f>
        <v>10</v>
      </c>
      <c r="G24" s="61">
        <f t="shared" ref="G24:G38" si="2">IF(H24=0," ",IF($H$38=0,0,H24/$H$44))</f>
        <v>0.10122311261071278</v>
      </c>
      <c r="H24" s="95">
        <f t="shared" ref="H24:H36" si="3">IF($C$21=0,0,D24*E24)</f>
        <v>960</v>
      </c>
      <c r="I24" s="320"/>
      <c r="J24" s="87"/>
      <c r="K24" s="70"/>
      <c r="L24" s="70"/>
      <c r="M24" s="70"/>
    </row>
    <row r="25" spans="2:13" ht="15.45" x14ac:dyDescent="0.4">
      <c r="B25" s="9" t="s">
        <v>131</v>
      </c>
      <c r="C25" s="9" t="s">
        <v>21</v>
      </c>
      <c r="D25" s="53">
        <f t="shared" si="0"/>
        <v>96</v>
      </c>
      <c r="E25" s="9">
        <v>2.5</v>
      </c>
      <c r="F25" s="94">
        <f t="shared" si="1"/>
        <v>2.5</v>
      </c>
      <c r="G25" s="61">
        <f t="shared" si="2"/>
        <v>2.5305778152678194E-2</v>
      </c>
      <c r="H25" s="95">
        <f t="shared" si="3"/>
        <v>240</v>
      </c>
      <c r="J25" s="112" t="s">
        <v>95</v>
      </c>
      <c r="K25" s="103">
        <f>D7</f>
        <v>96</v>
      </c>
      <c r="L25" s="70"/>
      <c r="M25" s="70"/>
    </row>
    <row r="26" spans="2:13" ht="15.45" x14ac:dyDescent="0.4">
      <c r="B26" s="9" t="s">
        <v>355</v>
      </c>
      <c r="C26" s="9" t="s">
        <v>21</v>
      </c>
      <c r="D26" s="53">
        <f t="shared" si="0"/>
        <v>96</v>
      </c>
      <c r="E26" s="9">
        <v>2.5</v>
      </c>
      <c r="F26" s="94">
        <f>IF($C$21=0,0,H26/$C$21)</f>
        <v>2.5</v>
      </c>
      <c r="G26" s="61">
        <f t="shared" si="2"/>
        <v>2.5305778152678194E-2</v>
      </c>
      <c r="H26" s="95">
        <f>IF($C$21=0,0,D26*E26)</f>
        <v>240</v>
      </c>
      <c r="J26" s="112" t="s">
        <v>356</v>
      </c>
      <c r="K26" s="103">
        <f>'6. Bull Cost'!$G$5</f>
        <v>2</v>
      </c>
      <c r="L26" s="70"/>
      <c r="M26" s="70"/>
    </row>
    <row r="27" spans="2:13" ht="15.45" x14ac:dyDescent="0.4">
      <c r="B27" s="9" t="s">
        <v>357</v>
      </c>
      <c r="C27" s="9" t="s">
        <v>21</v>
      </c>
      <c r="D27" s="53">
        <f t="shared" si="0"/>
        <v>96</v>
      </c>
      <c r="E27" s="9">
        <v>1.5</v>
      </c>
      <c r="F27" s="94">
        <f t="shared" si="1"/>
        <v>1.5</v>
      </c>
      <c r="G27" s="61">
        <f t="shared" si="2"/>
        <v>1.5183466891606916E-2</v>
      </c>
      <c r="H27" s="95">
        <f t="shared" si="3"/>
        <v>144</v>
      </c>
      <c r="J27" s="112" t="s">
        <v>223</v>
      </c>
      <c r="K27" s="100">
        <f>'6. Bull Cost'!H34</f>
        <v>31.197916666666668</v>
      </c>
      <c r="L27" s="70"/>
      <c r="M27" s="70"/>
    </row>
    <row r="28" spans="2:13" ht="15.45" x14ac:dyDescent="0.4">
      <c r="B28" s="9" t="s">
        <v>92</v>
      </c>
      <c r="C28" s="9" t="s">
        <v>21</v>
      </c>
      <c r="D28" s="53">
        <f t="shared" si="0"/>
        <v>96</v>
      </c>
      <c r="E28" s="9">
        <v>0</v>
      </c>
      <c r="F28" s="94">
        <f t="shared" si="1"/>
        <v>0</v>
      </c>
      <c r="G28" s="61" t="str">
        <f t="shared" si="2"/>
        <v xml:space="preserve"> </v>
      </c>
      <c r="H28" s="95">
        <f t="shared" si="3"/>
        <v>0</v>
      </c>
      <c r="J28" s="112" t="s">
        <v>214</v>
      </c>
      <c r="K28" s="372">
        <f>'6. Bull Cost'!H36</f>
        <v>1.96875</v>
      </c>
      <c r="L28" s="320" t="s">
        <v>358</v>
      </c>
      <c r="M28" s="70"/>
    </row>
    <row r="29" spans="2:13" ht="15.45" x14ac:dyDescent="0.4">
      <c r="B29" s="9" t="s">
        <v>92</v>
      </c>
      <c r="C29" s="9" t="s">
        <v>21</v>
      </c>
      <c r="D29" s="53">
        <f t="shared" si="0"/>
        <v>96</v>
      </c>
      <c r="E29" s="9">
        <v>0</v>
      </c>
      <c r="F29" s="94">
        <f t="shared" si="1"/>
        <v>0</v>
      </c>
      <c r="G29" s="61" t="str">
        <f t="shared" si="2"/>
        <v xml:space="preserve"> </v>
      </c>
      <c r="H29" s="95">
        <f t="shared" si="3"/>
        <v>0</v>
      </c>
      <c r="J29" s="112" t="s">
        <v>80</v>
      </c>
      <c r="K29" s="100">
        <f>K27+K28</f>
        <v>33.166666666666671</v>
      </c>
      <c r="L29" s="70"/>
      <c r="M29" s="70"/>
    </row>
    <row r="30" spans="2:13" ht="15" x14ac:dyDescent="0.35">
      <c r="B30" s="9" t="s">
        <v>92</v>
      </c>
      <c r="C30" s="9" t="s">
        <v>21</v>
      </c>
      <c r="D30" s="53">
        <f t="shared" si="0"/>
        <v>96</v>
      </c>
      <c r="E30" s="9">
        <v>0</v>
      </c>
      <c r="F30" s="94">
        <f t="shared" si="1"/>
        <v>0</v>
      </c>
      <c r="G30" s="61" t="str">
        <f t="shared" si="2"/>
        <v xml:space="preserve"> </v>
      </c>
      <c r="H30" s="95">
        <f t="shared" si="3"/>
        <v>0</v>
      </c>
      <c r="M30" s="70"/>
    </row>
    <row r="31" spans="2:13" ht="15" x14ac:dyDescent="0.35">
      <c r="B31" s="2" t="s">
        <v>173</v>
      </c>
      <c r="C31" s="9" t="s">
        <v>359</v>
      </c>
      <c r="D31" s="15">
        <v>6</v>
      </c>
      <c r="M31" s="70"/>
    </row>
    <row r="32" spans="2:13" ht="15" x14ac:dyDescent="0.35">
      <c r="B32" s="96" t="s">
        <v>174</v>
      </c>
      <c r="C32" s="96" t="s">
        <v>21</v>
      </c>
      <c r="D32" s="360">
        <f>$C$21*D31</f>
        <v>576</v>
      </c>
      <c r="E32" s="9">
        <v>2</v>
      </c>
      <c r="F32" s="94">
        <f t="shared" si="1"/>
        <v>12</v>
      </c>
      <c r="G32" s="61">
        <f t="shared" si="2"/>
        <v>0.12146773513285533</v>
      </c>
      <c r="H32" s="95">
        <f t="shared" si="3"/>
        <v>1152</v>
      </c>
      <c r="M32" s="70"/>
    </row>
    <row r="33" spans="1:13" ht="15" x14ac:dyDescent="0.35">
      <c r="B33" s="96" t="s">
        <v>360</v>
      </c>
      <c r="C33" s="96" t="s">
        <v>28</v>
      </c>
      <c r="D33" s="15">
        <v>2</v>
      </c>
      <c r="E33" s="9">
        <v>150</v>
      </c>
      <c r="F33" s="94">
        <f t="shared" si="1"/>
        <v>3.125</v>
      </c>
      <c r="G33" s="61">
        <f t="shared" si="2"/>
        <v>3.1632222690847742E-2</v>
      </c>
      <c r="H33" s="95">
        <f t="shared" si="3"/>
        <v>300</v>
      </c>
    </row>
    <row r="34" spans="1:13" ht="15" x14ac:dyDescent="0.35">
      <c r="B34" s="2" t="s">
        <v>361</v>
      </c>
      <c r="C34" s="96" t="s">
        <v>90</v>
      </c>
      <c r="D34" s="53">
        <f t="shared" ref="D34:D37" si="4">$C$21</f>
        <v>96</v>
      </c>
      <c r="E34" s="9">
        <v>8</v>
      </c>
      <c r="F34" s="94">
        <f>IF($C$21=0,0,H34/$C$21)</f>
        <v>8</v>
      </c>
      <c r="G34" s="61">
        <f>IF(H34=0," ",IF($H$38=0,0,H34/$H$44))</f>
        <v>8.0978490088570221E-2</v>
      </c>
      <c r="H34" s="95">
        <f>IF($C$21=0,0,D34*E34)</f>
        <v>768</v>
      </c>
    </row>
    <row r="35" spans="1:13" ht="15" x14ac:dyDescent="0.35">
      <c r="B35" s="96" t="s">
        <v>91</v>
      </c>
      <c r="C35" s="96" t="s">
        <v>21</v>
      </c>
      <c r="D35" s="53">
        <f t="shared" si="4"/>
        <v>96</v>
      </c>
      <c r="E35" s="9">
        <v>5</v>
      </c>
      <c r="F35" s="94">
        <f t="shared" si="1"/>
        <v>5</v>
      </c>
      <c r="G35" s="61">
        <f t="shared" si="2"/>
        <v>5.0611556305356388E-2</v>
      </c>
      <c r="H35" s="95">
        <f t="shared" si="3"/>
        <v>480</v>
      </c>
    </row>
    <row r="36" spans="1:13" ht="15" x14ac:dyDescent="0.35">
      <c r="B36" s="9" t="s">
        <v>92</v>
      </c>
      <c r="C36" s="9" t="s">
        <v>21</v>
      </c>
      <c r="D36" s="53">
        <f t="shared" si="4"/>
        <v>96</v>
      </c>
      <c r="E36" s="9">
        <v>0</v>
      </c>
      <c r="F36" s="94">
        <f t="shared" si="1"/>
        <v>0</v>
      </c>
      <c r="G36" s="61" t="str">
        <f t="shared" si="2"/>
        <v xml:space="preserve"> </v>
      </c>
      <c r="H36" s="95">
        <f t="shared" si="3"/>
        <v>0</v>
      </c>
    </row>
    <row r="37" spans="1:13" ht="15" x14ac:dyDescent="0.35">
      <c r="B37" s="79" t="s">
        <v>93</v>
      </c>
      <c r="C37" s="9" t="s">
        <v>94</v>
      </c>
      <c r="D37" s="53">
        <f t="shared" si="4"/>
        <v>96</v>
      </c>
      <c r="E37" s="9">
        <v>16</v>
      </c>
      <c r="F37" s="94">
        <f t="shared" si="1"/>
        <v>16</v>
      </c>
      <c r="G37" s="61">
        <f t="shared" si="2"/>
        <v>0.16195698017714044</v>
      </c>
      <c r="H37" s="95">
        <f>IF($C$21=0,0,D37*E37)</f>
        <v>1536</v>
      </c>
    </row>
    <row r="38" spans="1:13" ht="15.45" x14ac:dyDescent="0.4">
      <c r="B38" s="97" t="s">
        <v>362</v>
      </c>
      <c r="C38" s="98">
        <f>D7</f>
        <v>96</v>
      </c>
      <c r="D38" s="99"/>
      <c r="E38" s="100"/>
      <c r="F38" s="100">
        <f>SUM(F23:F37)</f>
        <v>65.625</v>
      </c>
      <c r="G38" s="114">
        <f t="shared" si="2"/>
        <v>0.66427667650780264</v>
      </c>
      <c r="H38" s="101">
        <f>SUM(H23:H37)</f>
        <v>6300</v>
      </c>
      <c r="I38" s="320"/>
      <c r="J38" s="87"/>
      <c r="K38" s="70"/>
      <c r="L38" s="70"/>
      <c r="M38" s="70"/>
    </row>
    <row r="39" spans="1:13" ht="15.45" x14ac:dyDescent="0.4">
      <c r="B39" s="97"/>
      <c r="C39" s="87"/>
      <c r="D39" s="72"/>
      <c r="E39" s="72"/>
      <c r="G39" s="72"/>
      <c r="H39" s="104"/>
      <c r="M39" s="70"/>
    </row>
    <row r="40" spans="1:13" ht="15.45" x14ac:dyDescent="0.4">
      <c r="B40" s="105"/>
      <c r="C40" s="69" t="s">
        <v>21</v>
      </c>
      <c r="D40" s="72" t="s">
        <v>363</v>
      </c>
      <c r="E40" s="72" t="s">
        <v>364</v>
      </c>
      <c r="F40" s="2"/>
      <c r="H40" s="69"/>
      <c r="M40" s="70"/>
    </row>
    <row r="41" spans="1:13" ht="15.45" x14ac:dyDescent="0.4">
      <c r="B41" s="97" t="s">
        <v>365</v>
      </c>
      <c r="C41" s="106">
        <f>D7</f>
        <v>96</v>
      </c>
      <c r="D41" s="185">
        <f>C41/E41</f>
        <v>48</v>
      </c>
      <c r="E41" s="335">
        <f>K26</f>
        <v>2</v>
      </c>
      <c r="F41" s="160">
        <f>K29</f>
        <v>33.166666666666671</v>
      </c>
      <c r="G41" s="114">
        <f t="shared" ref="G41" si="5">IF(H41=0," ",IF($H$38=0,0,H41/$H$44))</f>
        <v>0.33572332349219741</v>
      </c>
      <c r="H41" s="108">
        <f>C41*F41</f>
        <v>3184.0000000000005</v>
      </c>
      <c r="M41" s="70"/>
    </row>
    <row r="42" spans="1:13" ht="15.45" x14ac:dyDescent="0.4">
      <c r="B42" s="97"/>
      <c r="C42" s="106"/>
      <c r="D42" s="106"/>
      <c r="E42" s="109"/>
      <c r="G42" s="107"/>
      <c r="H42" s="108"/>
      <c r="J42" s="87"/>
      <c r="K42" s="70"/>
      <c r="L42" s="70"/>
      <c r="M42" s="70"/>
    </row>
    <row r="43" spans="1:13" ht="15.45" x14ac:dyDescent="0.4">
      <c r="B43" s="75" t="s">
        <v>366</v>
      </c>
      <c r="C43" s="87"/>
      <c r="D43" s="75" t="s">
        <v>97</v>
      </c>
      <c r="E43" s="87"/>
      <c r="F43" s="69" t="s">
        <v>1</v>
      </c>
      <c r="H43" s="69"/>
      <c r="I43" s="320"/>
      <c r="J43" s="361"/>
      <c r="K43" s="362"/>
      <c r="L43" s="70"/>
      <c r="M43" s="70"/>
    </row>
    <row r="44" spans="1:13" ht="15.45" x14ac:dyDescent="0.4">
      <c r="B44" s="222" t="s">
        <v>367</v>
      </c>
      <c r="C44" s="363"/>
      <c r="D44" s="364">
        <f>D12</f>
        <v>96</v>
      </c>
      <c r="E44" s="327"/>
      <c r="F44" s="365">
        <f>H44/D44</f>
        <v>98.791666666666671</v>
      </c>
      <c r="G44" s="327"/>
      <c r="H44" s="328">
        <f>H38+H41</f>
        <v>9484</v>
      </c>
      <c r="I44" s="320"/>
      <c r="J44" s="361"/>
      <c r="K44" s="362"/>
      <c r="L44" s="70"/>
      <c r="M44" s="70"/>
    </row>
    <row r="45" spans="1:13" ht="15" x14ac:dyDescent="0.35">
      <c r="B45" s="79"/>
      <c r="C45" s="21"/>
      <c r="D45" s="79"/>
      <c r="E45" s="79"/>
      <c r="G45" s="110"/>
      <c r="I45" s="366"/>
      <c r="J45" s="70"/>
      <c r="K45" s="70"/>
      <c r="L45" s="70"/>
      <c r="M45" s="70"/>
    </row>
    <row r="46" spans="1:13" ht="15.45" x14ac:dyDescent="0.4">
      <c r="B46" s="367" t="s">
        <v>368</v>
      </c>
      <c r="C46" s="144"/>
      <c r="D46" s="368">
        <f>G19</f>
        <v>84.48</v>
      </c>
      <c r="E46" s="367"/>
      <c r="F46" s="171"/>
      <c r="G46" s="369">
        <f>H44/D46</f>
        <v>112.26325757575756</v>
      </c>
      <c r="I46" s="111"/>
      <c r="J46" s="112"/>
      <c r="K46" s="70"/>
      <c r="L46" s="70"/>
      <c r="M46" s="70"/>
    </row>
    <row r="47" spans="1:13" ht="15.45" x14ac:dyDescent="0.4">
      <c r="A47" s="70"/>
      <c r="B47" s="21" t="s">
        <v>369</v>
      </c>
      <c r="C47" s="112"/>
      <c r="D47" s="370"/>
      <c r="E47" s="89"/>
      <c r="F47" s="70"/>
      <c r="G47" s="371"/>
      <c r="H47" s="70"/>
      <c r="I47" s="111"/>
      <c r="J47" s="112"/>
      <c r="K47" s="70"/>
      <c r="L47" s="70"/>
      <c r="M47" s="70"/>
    </row>
    <row r="48" spans="1:13" ht="15.45" x14ac:dyDescent="0.4">
      <c r="A48" s="70"/>
      <c r="B48" s="89" t="s">
        <v>370</v>
      </c>
      <c r="C48" s="112"/>
      <c r="D48" s="370"/>
      <c r="E48" s="89"/>
      <c r="F48" s="70"/>
      <c r="G48" s="371"/>
      <c r="H48" s="70"/>
      <c r="I48" s="111"/>
      <c r="J48" s="112"/>
      <c r="K48" s="70"/>
      <c r="L48" s="70"/>
      <c r="M48" s="70"/>
    </row>
    <row r="49" spans="1:13" ht="17.600000000000001" x14ac:dyDescent="0.4">
      <c r="A49" s="70"/>
      <c r="B49" s="472" t="s">
        <v>371</v>
      </c>
      <c r="C49" s="473"/>
      <c r="D49" s="473"/>
      <c r="E49" s="473"/>
      <c r="F49" s="473"/>
      <c r="G49" s="473"/>
      <c r="H49" s="473"/>
      <c r="I49" s="111"/>
      <c r="J49" s="112"/>
      <c r="K49" s="70"/>
      <c r="L49" s="70"/>
      <c r="M49" s="70"/>
    </row>
    <row r="50" spans="1:13" ht="15.45" x14ac:dyDescent="0.4">
      <c r="B50" s="345"/>
      <c r="C50" s="56"/>
      <c r="D50" s="56"/>
      <c r="E50" s="56"/>
      <c r="F50" s="56"/>
      <c r="G50" s="56"/>
      <c r="H50" s="56"/>
      <c r="M50" s="70"/>
    </row>
    <row r="51" spans="1:13" ht="15.45" x14ac:dyDescent="0.4">
      <c r="B51" s="3" t="s">
        <v>75</v>
      </c>
      <c r="C51" s="477" t="s">
        <v>502</v>
      </c>
      <c r="D51" s="478"/>
      <c r="E51" s="478"/>
      <c r="F51" s="478"/>
      <c r="G51" s="478"/>
      <c r="H51" s="479"/>
      <c r="M51" s="70"/>
    </row>
    <row r="52" spans="1:13" ht="15.45" x14ac:dyDescent="0.4">
      <c r="B52" s="3"/>
      <c r="C52" s="348"/>
      <c r="D52" s="349"/>
      <c r="E52" s="349"/>
      <c r="F52" s="349"/>
      <c r="G52" s="349"/>
      <c r="H52" s="349"/>
      <c r="M52" s="70"/>
    </row>
    <row r="53" spans="1:13" ht="15.45" x14ac:dyDescent="0.4">
      <c r="B53" s="3" t="s">
        <v>137</v>
      </c>
      <c r="C53" s="341" t="s">
        <v>21</v>
      </c>
      <c r="D53" s="350">
        <f>D7</f>
        <v>96</v>
      </c>
      <c r="E53" s="310"/>
      <c r="H53" s="310"/>
      <c r="J53" s="21"/>
      <c r="M53" s="70"/>
    </row>
    <row r="54" spans="1:13" ht="15.45" x14ac:dyDescent="0.4">
      <c r="B54" s="3"/>
      <c r="C54" s="341"/>
      <c r="D54" s="350"/>
      <c r="E54" s="310"/>
      <c r="H54" s="310"/>
      <c r="J54" s="21"/>
      <c r="M54" s="70"/>
    </row>
    <row r="55" spans="1:13" ht="15.45" x14ac:dyDescent="0.4">
      <c r="B55" s="3" t="s">
        <v>111</v>
      </c>
      <c r="D55" s="351">
        <v>88</v>
      </c>
      <c r="E55" s="310"/>
      <c r="H55" s="310"/>
      <c r="J55" s="61"/>
      <c r="K55" s="2"/>
      <c r="M55" s="70"/>
    </row>
    <row r="56" spans="1:13" ht="15" x14ac:dyDescent="0.35">
      <c r="B56" s="2" t="s">
        <v>342</v>
      </c>
      <c r="D56" s="351">
        <v>55</v>
      </c>
      <c r="E56" s="174"/>
      <c r="H56" s="310"/>
      <c r="J56" s="61"/>
      <c r="K56" s="2"/>
      <c r="M56" s="70"/>
    </row>
    <row r="57" spans="1:13" ht="15.45" x14ac:dyDescent="0.4">
      <c r="B57" s="75" t="s">
        <v>76</v>
      </c>
      <c r="D57" s="69" t="s">
        <v>343</v>
      </c>
      <c r="E57" s="69"/>
      <c r="F57" s="69" t="s">
        <v>77</v>
      </c>
      <c r="I57" s="29"/>
      <c r="J57" s="352"/>
      <c r="K57" s="120"/>
      <c r="M57" s="70"/>
    </row>
    <row r="58" spans="1:13" ht="15" x14ac:dyDescent="0.35">
      <c r="B58" s="2" t="s">
        <v>344</v>
      </c>
      <c r="D58" s="102">
        <f>D7</f>
        <v>96</v>
      </c>
      <c r="E58" s="7"/>
      <c r="F58" s="7">
        <f>D58-D65</f>
        <v>43.199999999999996</v>
      </c>
      <c r="H58" s="2"/>
      <c r="M58" s="70"/>
    </row>
    <row r="59" spans="1:13" ht="15" x14ac:dyDescent="0.35">
      <c r="B59" s="2" t="s">
        <v>372</v>
      </c>
      <c r="C59" s="353"/>
      <c r="D59" s="102">
        <f>D56</f>
        <v>55</v>
      </c>
      <c r="E59" s="353"/>
      <c r="F59" s="354">
        <f>((D58*D55*0.01-D63)/(D58-D65))*100</f>
        <v>73.333333333333343</v>
      </c>
      <c r="J59" s="7"/>
      <c r="K59" s="2"/>
      <c r="M59" s="70"/>
    </row>
    <row r="60" spans="1:13" ht="15.45" x14ac:dyDescent="0.4">
      <c r="B60" s="2"/>
      <c r="C60" s="2"/>
      <c r="D60" s="355" t="s">
        <v>78</v>
      </c>
      <c r="E60" s="355"/>
      <c r="F60" s="355" t="s">
        <v>79</v>
      </c>
      <c r="G60" s="355" t="s">
        <v>80</v>
      </c>
      <c r="H60" s="113" t="s">
        <v>346</v>
      </c>
      <c r="M60" s="70"/>
    </row>
    <row r="61" spans="1:13" ht="15.45" x14ac:dyDescent="0.4">
      <c r="B61" s="2" t="s">
        <v>347</v>
      </c>
      <c r="C61" s="2" t="s">
        <v>81</v>
      </c>
      <c r="D61" s="254">
        <f>(($D$59*0.01*(100-50)*0.01*$D$53))</f>
        <v>26.400000000000002</v>
      </c>
      <c r="E61" s="254"/>
      <c r="F61" s="254">
        <f>(F58)*0.5*0.01*$F$59</f>
        <v>15.84</v>
      </c>
      <c r="G61" s="7">
        <f>D61+F61</f>
        <v>42.24</v>
      </c>
      <c r="H61" s="114">
        <f>IF(G63=0,0,G61/$G$17)</f>
        <v>0.5</v>
      </c>
      <c r="M61" s="70"/>
    </row>
    <row r="62" spans="1:13" ht="15.45" x14ac:dyDescent="0.4">
      <c r="B62" s="2"/>
      <c r="C62" s="2" t="s">
        <v>74</v>
      </c>
      <c r="D62" s="254">
        <f>(($D$56*0.01*(100-50)*0.01*$D$53))</f>
        <v>26.400000000000002</v>
      </c>
      <c r="E62" s="254"/>
      <c r="F62" s="254">
        <f>(F58*0.5*0.01*$F$59)</f>
        <v>15.84</v>
      </c>
      <c r="G62" s="7">
        <f>D62+F62</f>
        <v>42.24</v>
      </c>
      <c r="H62" s="114">
        <f>IF(G63=0,0,G62/$G$17)</f>
        <v>0.5</v>
      </c>
      <c r="J62" s="29"/>
      <c r="M62" s="70"/>
    </row>
    <row r="63" spans="1:13" ht="15.45" x14ac:dyDescent="0.4">
      <c r="B63" s="2"/>
      <c r="C63" s="3" t="s">
        <v>80</v>
      </c>
      <c r="D63" s="356">
        <f>D61+D62</f>
        <v>52.800000000000004</v>
      </c>
      <c r="E63" s="356"/>
      <c r="F63" s="356">
        <f>F61+F62</f>
        <v>31.68</v>
      </c>
      <c r="G63" s="335">
        <f>G61+G62</f>
        <v>84.48</v>
      </c>
      <c r="H63" s="61"/>
      <c r="M63" s="70"/>
    </row>
    <row r="64" spans="1:13" ht="15.45" x14ac:dyDescent="0.4">
      <c r="C64" s="79"/>
      <c r="D64" s="80"/>
      <c r="E64" s="81" t="s">
        <v>348</v>
      </c>
      <c r="F64" s="80"/>
      <c r="G64" s="82" t="s">
        <v>349</v>
      </c>
      <c r="H64" s="82" t="s">
        <v>82</v>
      </c>
      <c r="I64" t="s">
        <v>350</v>
      </c>
      <c r="J64" s="70"/>
      <c r="K64" s="70"/>
      <c r="L64" s="70"/>
      <c r="M64" s="70"/>
    </row>
    <row r="65" spans="2:13" ht="15.45" x14ac:dyDescent="0.4">
      <c r="B65" s="79" t="s">
        <v>351</v>
      </c>
      <c r="C65" s="79"/>
      <c r="D65" s="37">
        <f>D61+D62</f>
        <v>52.800000000000004</v>
      </c>
      <c r="E65" s="114">
        <f>D63/G63</f>
        <v>0.625</v>
      </c>
      <c r="F65" s="37"/>
      <c r="G65" s="84">
        <f>SUM(D63:F63)</f>
        <v>84.48</v>
      </c>
      <c r="H65" s="83">
        <f>G65/D58</f>
        <v>0.88</v>
      </c>
      <c r="I65" s="7">
        <f>$D$7-G65</f>
        <v>11.519999999999996</v>
      </c>
      <c r="J65" s="85"/>
      <c r="K65" s="85"/>
      <c r="L65" s="86"/>
      <c r="M65" s="70"/>
    </row>
    <row r="66" spans="2:13" ht="15" x14ac:dyDescent="0.35">
      <c r="B66" s="90" t="s">
        <v>83</v>
      </c>
      <c r="C66" s="90"/>
      <c r="D66" s="90"/>
      <c r="E66" s="90"/>
      <c r="F66" s="90"/>
      <c r="G66" s="90"/>
      <c r="H66" s="90"/>
      <c r="I66" s="357"/>
      <c r="J66" s="70"/>
      <c r="K66" s="70"/>
      <c r="L66" s="70"/>
      <c r="M66" s="70"/>
    </row>
    <row r="67" spans="2:13" ht="15.45" x14ac:dyDescent="0.4">
      <c r="B67" s="3" t="s">
        <v>137</v>
      </c>
      <c r="C67" s="91">
        <f>D7</f>
        <v>96</v>
      </c>
      <c r="D67" s="345" t="s">
        <v>85</v>
      </c>
      <c r="E67" s="91"/>
      <c r="F67" s="137" t="s">
        <v>170</v>
      </c>
      <c r="G67" s="345" t="s">
        <v>6</v>
      </c>
      <c r="H67" s="345" t="s">
        <v>80</v>
      </c>
      <c r="I67" s="320"/>
      <c r="J67" s="70"/>
      <c r="K67" s="70"/>
      <c r="L67" s="70"/>
      <c r="M67" s="70"/>
    </row>
    <row r="68" spans="2:13" ht="15.45" x14ac:dyDescent="0.4">
      <c r="B68" s="358" t="s">
        <v>352</v>
      </c>
      <c r="C68" s="92" t="s">
        <v>86</v>
      </c>
      <c r="D68" s="345" t="s">
        <v>86</v>
      </c>
      <c r="E68" s="93" t="s">
        <v>87</v>
      </c>
      <c r="F68" s="345" t="s">
        <v>74</v>
      </c>
      <c r="G68" s="345" t="s">
        <v>89</v>
      </c>
      <c r="H68" s="345" t="s">
        <v>305</v>
      </c>
      <c r="I68" s="320"/>
      <c r="K68" s="70"/>
      <c r="L68" s="70"/>
      <c r="M68" s="70"/>
    </row>
    <row r="69" spans="2:13" ht="15" x14ac:dyDescent="0.35">
      <c r="B69" s="359" t="s">
        <v>353</v>
      </c>
      <c r="C69" s="9" t="s">
        <v>21</v>
      </c>
      <c r="D69" s="53">
        <f t="shared" ref="D69:D76" si="6">$C$21</f>
        <v>96</v>
      </c>
      <c r="E69" s="208">
        <v>5</v>
      </c>
      <c r="F69" s="94">
        <f>IF($C$21=0,0,H69/$C$21)</f>
        <v>5</v>
      </c>
      <c r="G69" s="61">
        <f>IF(H69=0," ",IF($H$38=0,0,H69/$H$89))</f>
        <v>5.4844606946983544E-2</v>
      </c>
      <c r="H69" s="95">
        <f>IF($C$21=0,0,D69*E69)</f>
        <v>480</v>
      </c>
      <c r="I69" s="320"/>
      <c r="J69" s="87"/>
      <c r="K69" s="70"/>
      <c r="L69" s="70"/>
      <c r="M69" s="70"/>
    </row>
    <row r="70" spans="2:13" ht="15" x14ac:dyDescent="0.35">
      <c r="B70" s="9" t="s">
        <v>354</v>
      </c>
      <c r="C70" s="9" t="s">
        <v>21</v>
      </c>
      <c r="D70" s="53">
        <f t="shared" si="6"/>
        <v>96</v>
      </c>
      <c r="E70" s="208">
        <v>10</v>
      </c>
      <c r="F70" s="94">
        <f t="shared" ref="F70:F71" si="7">IF($C$21=0,0,H70/$C$21)</f>
        <v>10</v>
      </c>
      <c r="G70" s="61">
        <f t="shared" ref="G70:G83" si="8">IF(H70=0," ",IF($H$38=0,0,H70/$H$89))</f>
        <v>0.10968921389396709</v>
      </c>
      <c r="H70" s="95">
        <f t="shared" ref="H70:H71" si="9">IF($C$21=0,0,D70*E70)</f>
        <v>960</v>
      </c>
      <c r="I70" s="320"/>
      <c r="J70" s="87"/>
      <c r="K70" s="70"/>
      <c r="L70" s="70"/>
      <c r="M70" s="70"/>
    </row>
    <row r="71" spans="2:13" ht="15.45" x14ac:dyDescent="0.4">
      <c r="B71" s="9" t="s">
        <v>131</v>
      </c>
      <c r="C71" s="9" t="s">
        <v>21</v>
      </c>
      <c r="D71" s="53">
        <f t="shared" si="6"/>
        <v>96</v>
      </c>
      <c r="E71" s="208">
        <v>2.5</v>
      </c>
      <c r="F71" s="94">
        <f t="shared" si="7"/>
        <v>2.5</v>
      </c>
      <c r="G71" s="61">
        <f t="shared" si="8"/>
        <v>2.7422303473491772E-2</v>
      </c>
      <c r="H71" s="95">
        <f t="shared" si="9"/>
        <v>240</v>
      </c>
      <c r="J71" s="112" t="s">
        <v>95</v>
      </c>
      <c r="K71" s="103">
        <f>'2.WeanedCalf to Sell Bred Heif '!C17</f>
        <v>96</v>
      </c>
      <c r="L71" s="70"/>
      <c r="M71" s="70"/>
    </row>
    <row r="72" spans="2:13" ht="15.45" x14ac:dyDescent="0.4">
      <c r="B72" s="9" t="s">
        <v>355</v>
      </c>
      <c r="C72" s="9" t="s">
        <v>21</v>
      </c>
      <c r="D72" s="53">
        <f t="shared" si="6"/>
        <v>96</v>
      </c>
      <c r="E72" s="208">
        <v>2.5</v>
      </c>
      <c r="F72" s="94">
        <f>IF($C$21=0,0,H72/$C$21)</f>
        <v>2.5</v>
      </c>
      <c r="G72" s="61">
        <f t="shared" si="8"/>
        <v>2.7422303473491772E-2</v>
      </c>
      <c r="H72" s="95">
        <f>IF($C$21=0,0,D72*E72)</f>
        <v>240</v>
      </c>
      <c r="J72" s="112" t="s">
        <v>356</v>
      </c>
      <c r="K72" s="103">
        <f>'6. Bull Cost'!$G$5</f>
        <v>2</v>
      </c>
      <c r="L72" s="70"/>
      <c r="M72" s="70"/>
    </row>
    <row r="73" spans="2:13" ht="15.45" x14ac:dyDescent="0.4">
      <c r="B73" s="9" t="s">
        <v>92</v>
      </c>
      <c r="C73" s="9" t="s">
        <v>21</v>
      </c>
      <c r="D73" s="53">
        <f t="shared" si="6"/>
        <v>96</v>
      </c>
      <c r="E73" s="208">
        <v>0</v>
      </c>
      <c r="F73" s="94">
        <f t="shared" ref="F73:F76" si="10">IF($C$21=0,0,H73/$C$21)</f>
        <v>0</v>
      </c>
      <c r="G73" s="61" t="str">
        <f t="shared" si="8"/>
        <v xml:space="preserve"> </v>
      </c>
      <c r="H73" s="95">
        <f t="shared" ref="H73:H76" si="11">IF($C$21=0,0,D73*E73)</f>
        <v>0</v>
      </c>
      <c r="J73" s="112" t="s">
        <v>223</v>
      </c>
      <c r="K73" s="100">
        <f>'6. Bull Cost'!H34</f>
        <v>31.197916666666668</v>
      </c>
      <c r="L73" s="70"/>
      <c r="M73" s="70"/>
    </row>
    <row r="74" spans="2:13" ht="15.45" x14ac:dyDescent="0.4">
      <c r="B74" s="9" t="s">
        <v>92</v>
      </c>
      <c r="C74" s="9" t="s">
        <v>21</v>
      </c>
      <c r="D74" s="53">
        <f t="shared" si="6"/>
        <v>96</v>
      </c>
      <c r="E74" s="208">
        <v>0</v>
      </c>
      <c r="F74" s="94">
        <f t="shared" si="10"/>
        <v>0</v>
      </c>
      <c r="G74" s="61" t="str">
        <f t="shared" si="8"/>
        <v xml:space="preserve"> </v>
      </c>
      <c r="H74" s="95">
        <f t="shared" si="11"/>
        <v>0</v>
      </c>
      <c r="J74" s="112" t="s">
        <v>214</v>
      </c>
      <c r="K74" s="372">
        <f>'6. Bull Cost'!H36</f>
        <v>1.96875</v>
      </c>
      <c r="L74" s="320" t="s">
        <v>358</v>
      </c>
      <c r="M74" s="70"/>
    </row>
    <row r="75" spans="2:13" ht="15.45" x14ac:dyDescent="0.4">
      <c r="B75" s="9" t="s">
        <v>92</v>
      </c>
      <c r="C75" s="9" t="s">
        <v>21</v>
      </c>
      <c r="D75" s="53">
        <f t="shared" si="6"/>
        <v>96</v>
      </c>
      <c r="E75" s="208">
        <v>0</v>
      </c>
      <c r="F75" s="94">
        <f t="shared" si="10"/>
        <v>0</v>
      </c>
      <c r="G75" s="61" t="str">
        <f t="shared" si="8"/>
        <v xml:space="preserve"> </v>
      </c>
      <c r="H75" s="95">
        <f t="shared" si="11"/>
        <v>0</v>
      </c>
      <c r="J75" s="112" t="s">
        <v>80</v>
      </c>
      <c r="K75" s="100">
        <f>K73+K74</f>
        <v>33.166666666666671</v>
      </c>
      <c r="L75" s="70"/>
      <c r="M75" s="70"/>
    </row>
    <row r="76" spans="2:13" ht="15" x14ac:dyDescent="0.35">
      <c r="B76" s="9" t="s">
        <v>92</v>
      </c>
      <c r="C76" s="9" t="s">
        <v>21</v>
      </c>
      <c r="D76" s="53">
        <f t="shared" si="6"/>
        <v>96</v>
      </c>
      <c r="E76" s="208">
        <v>0</v>
      </c>
      <c r="F76" s="94">
        <f t="shared" si="10"/>
        <v>0</v>
      </c>
      <c r="G76" s="61" t="str">
        <f t="shared" si="8"/>
        <v xml:space="preserve"> </v>
      </c>
      <c r="H76" s="95">
        <f t="shared" si="11"/>
        <v>0</v>
      </c>
      <c r="M76" s="70"/>
    </row>
    <row r="77" spans="2:13" ht="15" x14ac:dyDescent="0.35">
      <c r="B77" s="2" t="s">
        <v>173</v>
      </c>
      <c r="C77" s="9" t="s">
        <v>359</v>
      </c>
      <c r="D77" s="15">
        <v>3</v>
      </c>
      <c r="M77" s="70"/>
    </row>
    <row r="78" spans="2:13" ht="15" x14ac:dyDescent="0.35">
      <c r="B78" s="96" t="s">
        <v>174</v>
      </c>
      <c r="C78" s="96" t="s">
        <v>21</v>
      </c>
      <c r="D78" s="360">
        <f>$C$21*D77</f>
        <v>288</v>
      </c>
      <c r="E78" s="9">
        <v>3</v>
      </c>
      <c r="F78" s="94">
        <f t="shared" ref="F78" si="12">IF($C$21=0,0,H78/$C$21)</f>
        <v>9</v>
      </c>
      <c r="G78" s="61">
        <f t="shared" si="8"/>
        <v>9.8720292504570387E-2</v>
      </c>
      <c r="H78" s="95">
        <f t="shared" ref="H78" si="13">IF($C$21=0,0,D78*E78)</f>
        <v>864</v>
      </c>
      <c r="M78" s="70"/>
    </row>
    <row r="79" spans="2:13" ht="15" x14ac:dyDescent="0.35">
      <c r="B79" s="2" t="s">
        <v>361</v>
      </c>
      <c r="C79" s="96" t="s">
        <v>90</v>
      </c>
      <c r="D79" s="53">
        <f t="shared" ref="D79:D82" si="14">$C$21</f>
        <v>96</v>
      </c>
      <c r="E79" s="9">
        <v>8</v>
      </c>
      <c r="F79" s="94">
        <f>IF($C$21=0,0,H79/$C$21)</f>
        <v>8</v>
      </c>
      <c r="G79" s="61">
        <f t="shared" si="8"/>
        <v>8.7751371115173671E-2</v>
      </c>
      <c r="H79" s="95">
        <f>IF($C$21=0,0,D79*E79)</f>
        <v>768</v>
      </c>
    </row>
    <row r="80" spans="2:13" ht="15" x14ac:dyDescent="0.35">
      <c r="B80" s="96" t="s">
        <v>91</v>
      </c>
      <c r="C80" s="96" t="s">
        <v>21</v>
      </c>
      <c r="D80" s="53">
        <f t="shared" si="14"/>
        <v>96</v>
      </c>
      <c r="E80" s="9">
        <v>5</v>
      </c>
      <c r="F80" s="94">
        <f t="shared" ref="F80:F82" si="15">IF($C$21=0,0,H80/$C$21)</f>
        <v>5</v>
      </c>
      <c r="G80" s="61">
        <f t="shared" si="8"/>
        <v>5.4844606946983544E-2</v>
      </c>
      <c r="H80" s="95">
        <f t="shared" ref="H80:H81" si="16">IF($C$21=0,0,D80*E80)</f>
        <v>480</v>
      </c>
    </row>
    <row r="81" spans="1:13" ht="15" x14ac:dyDescent="0.35">
      <c r="B81" s="9" t="s">
        <v>92</v>
      </c>
      <c r="C81" s="9" t="s">
        <v>21</v>
      </c>
      <c r="D81" s="53">
        <f t="shared" si="14"/>
        <v>96</v>
      </c>
      <c r="E81" s="9">
        <v>0</v>
      </c>
      <c r="F81" s="94">
        <f t="shared" si="15"/>
        <v>0</v>
      </c>
      <c r="G81" s="61" t="str">
        <f t="shared" si="8"/>
        <v xml:space="preserve"> </v>
      </c>
      <c r="H81" s="95">
        <f t="shared" si="16"/>
        <v>0</v>
      </c>
    </row>
    <row r="82" spans="1:13" ht="15" x14ac:dyDescent="0.35">
      <c r="B82" s="79" t="s">
        <v>93</v>
      </c>
      <c r="C82" s="9" t="s">
        <v>94</v>
      </c>
      <c r="D82" s="53">
        <f t="shared" si="14"/>
        <v>96</v>
      </c>
      <c r="E82" s="208">
        <v>16</v>
      </c>
      <c r="F82" s="94">
        <f t="shared" si="15"/>
        <v>16</v>
      </c>
      <c r="G82" s="61">
        <f t="shared" si="8"/>
        <v>0.17550274223034734</v>
      </c>
      <c r="H82" s="95">
        <f>IF($C$21=0,0,D82*E82)</f>
        <v>1536</v>
      </c>
    </row>
    <row r="83" spans="1:13" ht="15.45" x14ac:dyDescent="0.4">
      <c r="B83" s="97" t="s">
        <v>362</v>
      </c>
      <c r="C83" s="98">
        <f>D7</f>
        <v>96</v>
      </c>
      <c r="D83" s="99"/>
      <c r="E83" s="100"/>
      <c r="F83" s="100">
        <f>SUM(F69:F82)</f>
        <v>58</v>
      </c>
      <c r="G83" s="114">
        <f t="shared" si="8"/>
        <v>0.63619744058500916</v>
      </c>
      <c r="H83" s="101">
        <f>SUM(H69:H82)</f>
        <v>5568</v>
      </c>
      <c r="I83" s="320"/>
      <c r="J83" s="87"/>
      <c r="K83" s="70"/>
      <c r="L83" s="70"/>
      <c r="M83" s="70"/>
    </row>
    <row r="84" spans="1:13" ht="15.45" x14ac:dyDescent="0.4">
      <c r="B84" s="97"/>
      <c r="C84" s="87"/>
      <c r="D84" s="72"/>
      <c r="E84" s="72"/>
      <c r="G84" s="72"/>
      <c r="H84" s="104"/>
      <c r="M84" s="70"/>
    </row>
    <row r="85" spans="1:13" ht="15.45" x14ac:dyDescent="0.4">
      <c r="B85" s="105"/>
      <c r="C85" s="69" t="s">
        <v>21</v>
      </c>
      <c r="D85" s="72" t="s">
        <v>363</v>
      </c>
      <c r="E85" s="72" t="s">
        <v>364</v>
      </c>
      <c r="F85" s="2"/>
      <c r="H85" s="69"/>
      <c r="M85" s="70"/>
    </row>
    <row r="86" spans="1:13" ht="15.45" x14ac:dyDescent="0.4">
      <c r="B86" s="97" t="s">
        <v>365</v>
      </c>
      <c r="C86" s="106">
        <f>D7</f>
        <v>96</v>
      </c>
      <c r="D86" s="185">
        <f>C86/E86</f>
        <v>48</v>
      </c>
      <c r="E86" s="335">
        <f>K72</f>
        <v>2</v>
      </c>
      <c r="F86" s="160">
        <f>K75</f>
        <v>33.166666666666671</v>
      </c>
      <c r="G86" s="114">
        <f t="shared" ref="G86" si="17">IF(H86=0," ",IF($H$38=0,0,H86/$H$89))</f>
        <v>0.3638025594149909</v>
      </c>
      <c r="H86" s="108">
        <f>C86*F86</f>
        <v>3184.0000000000005</v>
      </c>
      <c r="M86" s="70"/>
    </row>
    <row r="87" spans="1:13" ht="15.45" x14ac:dyDescent="0.4">
      <c r="B87" s="97"/>
      <c r="C87" s="106"/>
      <c r="D87" s="106"/>
      <c r="E87" s="109"/>
      <c r="G87" s="107"/>
      <c r="H87" s="108"/>
      <c r="J87" s="87"/>
      <c r="K87" s="70"/>
      <c r="L87" s="70"/>
      <c r="M87" s="70"/>
    </row>
    <row r="88" spans="1:13" ht="15.45" x14ac:dyDescent="0.4">
      <c r="B88" s="75" t="s">
        <v>366</v>
      </c>
      <c r="C88" s="87"/>
      <c r="D88" s="75" t="s">
        <v>97</v>
      </c>
      <c r="E88" s="87"/>
      <c r="F88" s="69" t="s">
        <v>1</v>
      </c>
      <c r="H88" s="69"/>
      <c r="I88" s="320"/>
      <c r="J88" s="361"/>
      <c r="K88" s="362"/>
      <c r="L88" s="70"/>
      <c r="M88" s="70"/>
    </row>
    <row r="89" spans="1:13" ht="15.45" x14ac:dyDescent="0.4">
      <c r="B89" s="222" t="s">
        <v>367</v>
      </c>
      <c r="C89" s="363"/>
      <c r="D89" s="364">
        <f>D7</f>
        <v>96</v>
      </c>
      <c r="E89" s="327"/>
      <c r="F89" s="365">
        <f>H89/D89</f>
        <v>91.166666666666671</v>
      </c>
      <c r="G89" s="327"/>
      <c r="H89" s="328">
        <f>H83+H86</f>
        <v>8752</v>
      </c>
      <c r="I89" s="320"/>
      <c r="J89" s="361"/>
      <c r="K89" s="362"/>
      <c r="L89" s="70"/>
      <c r="M89" s="70"/>
    </row>
    <row r="90" spans="1:13" ht="15" x14ac:dyDescent="0.35">
      <c r="B90" s="79"/>
      <c r="C90" s="21"/>
      <c r="D90" s="79"/>
      <c r="E90" s="79"/>
      <c r="G90" s="110"/>
      <c r="I90" s="366"/>
      <c r="J90" s="70"/>
      <c r="K90" s="70"/>
      <c r="L90" s="70"/>
      <c r="M90" s="70"/>
    </row>
    <row r="91" spans="1:13" ht="15.45" x14ac:dyDescent="0.4">
      <c r="B91" s="367" t="s">
        <v>368</v>
      </c>
      <c r="C91" s="144"/>
      <c r="D91" s="368">
        <f>G65</f>
        <v>84.48</v>
      </c>
      <c r="E91" s="367"/>
      <c r="F91" s="171"/>
      <c r="G91" s="369">
        <f>H89/D91</f>
        <v>103.59848484848484</v>
      </c>
      <c r="I91" s="111"/>
      <c r="J91" s="112"/>
      <c r="K91" s="70"/>
      <c r="L91" s="70"/>
      <c r="M91" s="70"/>
    </row>
    <row r="92" spans="1:13" ht="15.45" x14ac:dyDescent="0.4">
      <c r="A92" s="70"/>
      <c r="B92" s="89" t="s">
        <v>370</v>
      </c>
      <c r="C92" s="112"/>
      <c r="D92" s="370"/>
      <c r="E92" s="89"/>
      <c r="F92" s="70"/>
      <c r="G92" s="371"/>
      <c r="H92" s="70"/>
      <c r="I92" s="111"/>
      <c r="J92" s="112"/>
      <c r="K92" s="70"/>
      <c r="L92" s="70"/>
      <c r="M92" s="70"/>
    </row>
    <row r="93" spans="1:13" x14ac:dyDescent="0.3">
      <c r="B93" s="21" t="s">
        <v>369</v>
      </c>
    </row>
  </sheetData>
  <sheetProtection sheet="1" objects="1" scenarios="1"/>
  <mergeCells count="5">
    <mergeCell ref="B1:H1"/>
    <mergeCell ref="B3:G3"/>
    <mergeCell ref="C5:H5"/>
    <mergeCell ref="B49:H49"/>
    <mergeCell ref="C51:H51"/>
  </mergeCells>
  <pageMargins left="0.95" right="0.45" top="0.75" bottom="0.75" header="0.3" footer="0.3"/>
  <pageSetup scale="76" orientation="portrait" horizontalDpi="4294967295" verticalDpi="4294967295" r:id="rId1"/>
  <headerFooter>
    <oddFooter>&amp;L&amp;F&amp;R&amp;A
Page &amp;P of &amp;N</oddFooter>
  </headerFooter>
  <rowBreaks count="1" manualBreakCount="1">
    <brk id="48" min="1" max="7" man="1"/>
  </rowBreaks>
  <ignoredErrors>
    <ignoredError sqref="G3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70"/>
  <sheetViews>
    <sheetView workbookViewId="0">
      <selection activeCell="H33" sqref="H33"/>
    </sheetView>
  </sheetViews>
  <sheetFormatPr defaultRowHeight="12.45" x14ac:dyDescent="0.3"/>
  <cols>
    <col min="1" max="1" width="4.69140625" customWidth="1"/>
    <col min="2" max="2" width="50.84375" customWidth="1"/>
    <col min="3" max="3" width="12.84375" customWidth="1"/>
    <col min="4" max="4" width="14.23046875" customWidth="1"/>
    <col min="5" max="5" width="19" customWidth="1"/>
    <col min="6" max="6" width="14.07421875" customWidth="1"/>
    <col min="7" max="7" width="8.07421875" customWidth="1"/>
    <col min="8" max="8" width="12.69140625" customWidth="1"/>
  </cols>
  <sheetData>
    <row r="1" spans="2:9" ht="17.600000000000001" x14ac:dyDescent="0.4">
      <c r="B1" s="472" t="s">
        <v>321</v>
      </c>
      <c r="C1" s="473"/>
      <c r="D1" s="473"/>
      <c r="E1" s="473"/>
      <c r="F1" s="473"/>
      <c r="G1" s="473"/>
    </row>
    <row r="3" spans="2:9" ht="15.45" x14ac:dyDescent="0.4">
      <c r="B3" s="456" t="str">
        <f>'2.WeanedCalf to Sell Bred Heif '!C3</f>
        <v>Raised Angus heifers bred to low birth weight bulls</v>
      </c>
      <c r="C3" s="457"/>
      <c r="D3" s="457"/>
    </row>
    <row r="4" spans="2:9" ht="15.45" x14ac:dyDescent="0.4">
      <c r="B4" s="184"/>
      <c r="D4" s="174"/>
      <c r="E4" s="174"/>
      <c r="F4" s="174"/>
      <c r="G4" s="174"/>
      <c r="H4" s="174"/>
      <c r="I4" s="66"/>
    </row>
    <row r="5" spans="2:9" ht="15.45" x14ac:dyDescent="0.4">
      <c r="B5" s="3" t="s">
        <v>137</v>
      </c>
      <c r="C5" s="187" t="s">
        <v>21</v>
      </c>
      <c r="D5" s="182">
        <f>IF('2.WeanedCalf to Sell Bred Heif '!E5=2,0,'4.Conventional AI BreedingCost'!D7)</f>
        <v>96</v>
      </c>
      <c r="E5" s="392" t="str">
        <f>'2.WeanedCalf to Sell Bred Heif '!F5</f>
        <v>Conventional AI</v>
      </c>
      <c r="F5" s="74"/>
      <c r="G5" s="74"/>
      <c r="H5" s="74"/>
      <c r="I5" s="66"/>
    </row>
    <row r="6" spans="2:9" ht="15.45" x14ac:dyDescent="0.4">
      <c r="B6" s="3" t="s">
        <v>111</v>
      </c>
      <c r="C6" s="6" t="s">
        <v>6</v>
      </c>
      <c r="D6" s="185">
        <f>'4.Conventional AI BreedingCost'!D9</f>
        <v>88</v>
      </c>
      <c r="E6" s="74"/>
      <c r="F6" s="74"/>
      <c r="G6" s="74"/>
      <c r="H6" s="74"/>
      <c r="I6" s="66"/>
    </row>
    <row r="7" spans="2:9" ht="15" x14ac:dyDescent="0.35">
      <c r="B7" s="2" t="s">
        <v>155</v>
      </c>
      <c r="C7" s="6" t="s">
        <v>6</v>
      </c>
      <c r="D7" s="206">
        <f>IF('2.WeanedCalf to Sell Bred Heif '!E6=1,'4.Conventional AI BreedingCost'!D10,'4.Conventional AI BreedingCost'!D56)</f>
        <v>55</v>
      </c>
      <c r="E7" s="174" t="str">
        <f>'2.WeanedCalf to Sell Bred Heif '!F6</f>
        <v>Heat Detection AI</v>
      </c>
      <c r="F7" s="74"/>
      <c r="G7" s="74"/>
      <c r="H7" s="74"/>
      <c r="I7" s="66"/>
    </row>
    <row r="8" spans="2:9" ht="15.45" x14ac:dyDescent="0.4">
      <c r="B8" s="66"/>
      <c r="C8" s="65"/>
      <c r="D8" s="188" t="s">
        <v>21</v>
      </c>
      <c r="E8" s="64"/>
      <c r="F8" s="188"/>
    </row>
    <row r="9" spans="2:9" ht="15.45" x14ac:dyDescent="0.4">
      <c r="B9" s="2" t="s">
        <v>145</v>
      </c>
      <c r="C9" s="65" t="s">
        <v>81</v>
      </c>
      <c r="D9" s="73">
        <f>'4.Conventional AI BreedingCost'!G15</f>
        <v>42.24</v>
      </c>
      <c r="F9" s="114"/>
    </row>
    <row r="10" spans="2:9" ht="15.45" x14ac:dyDescent="0.4">
      <c r="B10" s="66"/>
      <c r="C10" s="65" t="s">
        <v>74</v>
      </c>
      <c r="D10" s="73">
        <f>'4.Conventional AI BreedingCost'!G16</f>
        <v>42.24</v>
      </c>
      <c r="F10" s="114"/>
    </row>
    <row r="11" spans="2:9" ht="15.45" x14ac:dyDescent="0.4">
      <c r="B11" s="66"/>
      <c r="C11" s="46" t="s">
        <v>80</v>
      </c>
      <c r="D11" s="37">
        <f>'4.Conventional AI BreedingCost'!G17</f>
        <v>84.48</v>
      </c>
      <c r="F11" s="78"/>
      <c r="G11" s="35"/>
    </row>
    <row r="12" spans="2:9" ht="15.45" x14ac:dyDescent="0.4">
      <c r="B12" s="66"/>
      <c r="C12" s="76"/>
      <c r="D12" s="46" t="s">
        <v>106</v>
      </c>
      <c r="E12" s="46"/>
      <c r="F12" s="137"/>
    </row>
    <row r="13" spans="2:9" ht="15.45" x14ac:dyDescent="0.4">
      <c r="B13" s="3" t="s">
        <v>124</v>
      </c>
      <c r="C13" s="76" t="s">
        <v>104</v>
      </c>
      <c r="D13" s="46" t="s">
        <v>107</v>
      </c>
      <c r="E13" s="46"/>
      <c r="F13" s="137"/>
    </row>
    <row r="14" spans="2:9" ht="15" x14ac:dyDescent="0.35">
      <c r="B14" s="2" t="s">
        <v>136</v>
      </c>
      <c r="C14" s="118">
        <f>IF(D5=0,0,'2.WeanedCalf to Sell Bred Heif '!C92)</f>
        <v>887.78409090909088</v>
      </c>
      <c r="D14" s="78"/>
    </row>
    <row r="15" spans="2:9" ht="15" x14ac:dyDescent="0.35">
      <c r="B15" s="2" t="s">
        <v>102</v>
      </c>
      <c r="C15" s="118">
        <f>IF(D5=0,0,'2.WeanedCalf to Sell Bred Heif '!C93)</f>
        <v>-155.0426136363636</v>
      </c>
      <c r="D15" s="78"/>
    </row>
    <row r="16" spans="2:9" ht="15" x14ac:dyDescent="0.35">
      <c r="B16" s="2"/>
      <c r="C16" s="118"/>
      <c r="D16" s="78"/>
    </row>
    <row r="17" spans="2:8" ht="15.45" x14ac:dyDescent="0.4">
      <c r="B17" s="3" t="s">
        <v>141</v>
      </c>
      <c r="C17" s="16">
        <f>IF(D5=0,0,C14+C15)</f>
        <v>732.74147727272725</v>
      </c>
      <c r="D17" s="61">
        <f>IF($C$26=0,0,C17/$C$26)</f>
        <v>0.50233946916395966</v>
      </c>
    </row>
    <row r="18" spans="2:8" ht="15" x14ac:dyDescent="0.35">
      <c r="B18" s="66" t="s">
        <v>108</v>
      </c>
      <c r="C18" s="118">
        <f>IF(D5=0,0,'2.WeanedCalf to Sell Bred Heif '!C96)</f>
        <v>373.16524621212119</v>
      </c>
      <c r="D18" s="61">
        <f t="shared" ref="D18:D23" si="0">IF($C$26=0,0,C18/$C$26)</f>
        <v>0.25582778852692689</v>
      </c>
    </row>
    <row r="19" spans="2:8" ht="15" x14ac:dyDescent="0.35">
      <c r="B19" s="2" t="s">
        <v>139</v>
      </c>
      <c r="C19" s="118">
        <f>IF(D5=0,0,'2.WeanedCalf to Sell Bred Heif '!C98)</f>
        <v>0</v>
      </c>
      <c r="D19" s="61">
        <f t="shared" si="0"/>
        <v>0</v>
      </c>
    </row>
    <row r="20" spans="2:8" ht="15" x14ac:dyDescent="0.35">
      <c r="B20" s="66" t="s">
        <v>110</v>
      </c>
      <c r="C20" s="118">
        <f>IF(D5=0,0,'2.WeanedCalf to Sell Bred Heif '!C97)</f>
        <v>14.204545454545453</v>
      </c>
      <c r="D20" s="61">
        <f t="shared" si="0"/>
        <v>9.7380918709694606E-3</v>
      </c>
    </row>
    <row r="21" spans="2:8" ht="15.45" x14ac:dyDescent="0.4">
      <c r="B21" s="222" t="s">
        <v>123</v>
      </c>
      <c r="C21" s="232">
        <f>IF(D5=0,0,'2.WeanedCalf to Sell Bred Heif '!C101)</f>
        <v>112.78113162878786</v>
      </c>
      <c r="D21" s="233">
        <f t="shared" si="0"/>
        <v>7.7318420686357733E-2</v>
      </c>
    </row>
    <row r="22" spans="2:8" ht="15" x14ac:dyDescent="0.35">
      <c r="B22" s="66" t="s">
        <v>100</v>
      </c>
      <c r="C22" s="118">
        <f>IF(D5=0,0,'2.WeanedCalf to Sell Bred Heif '!C102)</f>
        <v>51.012742320464923</v>
      </c>
      <c r="D22" s="61">
        <f t="shared" si="0"/>
        <v>3.4972380699997266E-2</v>
      </c>
    </row>
    <row r="23" spans="2:8" ht="15" x14ac:dyDescent="0.35">
      <c r="B23" s="2" t="s">
        <v>184</v>
      </c>
      <c r="C23" s="118">
        <f>IF(D5=0,0,'2.WeanedCalf to Sell Bred Heif '!C103)</f>
        <v>174.75284090909091</v>
      </c>
      <c r="D23" s="61">
        <f t="shared" si="0"/>
        <v>0.11980384905178891</v>
      </c>
    </row>
    <row r="24" spans="2:8" x14ac:dyDescent="0.3">
      <c r="B24" s="1" t="s">
        <v>142</v>
      </c>
    </row>
    <row r="25" spans="2:8" x14ac:dyDescent="0.3">
      <c r="B25" s="1"/>
    </row>
    <row r="26" spans="2:8" ht="15.45" x14ac:dyDescent="0.4">
      <c r="B26" s="138" t="s">
        <v>183</v>
      </c>
      <c r="C26" s="149">
        <f>IF(D5=0,0,SUM(C17:C23))</f>
        <v>1458.6579837977376</v>
      </c>
      <c r="D26" s="78"/>
      <c r="E26" s="338" t="s">
        <v>198</v>
      </c>
      <c r="F26" s="231" t="s">
        <v>200</v>
      </c>
      <c r="H26" s="29"/>
    </row>
    <row r="27" spans="2:8" ht="14.15" x14ac:dyDescent="0.35">
      <c r="E27" s="338" t="s">
        <v>199</v>
      </c>
      <c r="F27" s="195" t="s">
        <v>326</v>
      </c>
    </row>
    <row r="28" spans="2:8" ht="15.45" x14ac:dyDescent="0.4">
      <c r="B28" s="138" t="s">
        <v>138</v>
      </c>
      <c r="C28" s="149">
        <f>IF(D5=0,0,'2.WeanedCalf to Sell Bred Heif '!D86)</f>
        <v>1543.75</v>
      </c>
      <c r="E28" s="16">
        <f>'2.WeanedCalf to Sell Bred Heif '!E22</f>
        <v>900</v>
      </c>
      <c r="F28" s="223">
        <f>IF(C28=0," ",C28-E28)</f>
        <v>643.75</v>
      </c>
    </row>
    <row r="30" spans="2:8" ht="15.45" x14ac:dyDescent="0.4">
      <c r="B30" s="138" t="s">
        <v>148</v>
      </c>
      <c r="C30" s="147">
        <f>C28-C26</f>
        <v>85.092016202262357</v>
      </c>
    </row>
    <row r="32" spans="2:8" ht="15.45" x14ac:dyDescent="0.4">
      <c r="B32" s="138" t="s">
        <v>143</v>
      </c>
      <c r="C32" s="171"/>
      <c r="D32" s="145">
        <f>IF(D5=0,0,'2.WeanedCalf to Sell Bred Heif '!F74)</f>
        <v>0.13065380593617254</v>
      </c>
    </row>
    <row r="33" spans="2:6" x14ac:dyDescent="0.3">
      <c r="B33" s="52" t="s">
        <v>140</v>
      </c>
    </row>
    <row r="34" spans="2:6" x14ac:dyDescent="0.3">
      <c r="B34" s="52" t="s">
        <v>142</v>
      </c>
    </row>
    <row r="35" spans="2:6" x14ac:dyDescent="0.3">
      <c r="B35" s="60"/>
    </row>
    <row r="36" spans="2:6" ht="15" x14ac:dyDescent="0.35">
      <c r="B36" s="66"/>
      <c r="C36" s="118"/>
      <c r="D36" s="78"/>
      <c r="E36" s="119"/>
    </row>
    <row r="37" spans="2:6" ht="15" x14ac:dyDescent="0.35">
      <c r="D37" s="66"/>
      <c r="E37" s="66"/>
      <c r="F37" s="66"/>
    </row>
    <row r="61" spans="2:6" ht="15.45" x14ac:dyDescent="0.4">
      <c r="B61" s="180"/>
      <c r="D61" s="3" t="s">
        <v>303</v>
      </c>
      <c r="E61" s="3" t="s">
        <v>302</v>
      </c>
      <c r="F61" s="3" t="s">
        <v>171</v>
      </c>
    </row>
    <row r="62" spans="2:6" ht="15.45" x14ac:dyDescent="0.4">
      <c r="B62" s="5" t="s">
        <v>21</v>
      </c>
      <c r="C62" s="76" t="s">
        <v>288</v>
      </c>
      <c r="D62" s="3">
        <f>'4.Conventional AI BreedingCost'!E86</f>
        <v>2</v>
      </c>
      <c r="E62" s="37">
        <f>D5</f>
        <v>96</v>
      </c>
      <c r="F62" s="37">
        <f>D11</f>
        <v>84.48</v>
      </c>
    </row>
    <row r="63" spans="2:6" ht="15.45" x14ac:dyDescent="0.4">
      <c r="B63" s="2"/>
      <c r="C63" s="76" t="s">
        <v>305</v>
      </c>
      <c r="D63" s="3" t="s">
        <v>304</v>
      </c>
      <c r="E63" s="67" t="s">
        <v>301</v>
      </c>
    </row>
    <row r="64" spans="2:6" ht="15" x14ac:dyDescent="0.35">
      <c r="B64" s="22" t="s">
        <v>291</v>
      </c>
      <c r="C64" s="10">
        <f>'6. Bull Cost'!E34</f>
        <v>1497.5</v>
      </c>
      <c r="D64" s="10">
        <f>C64*$D$62</f>
        <v>2995</v>
      </c>
      <c r="E64" s="302">
        <f>IF($E$62=0,0,D64/$E$62)</f>
        <v>31.197916666666668</v>
      </c>
      <c r="F64" s="10">
        <f>IF($F$62=0,0,D64/$F$62)</f>
        <v>35.452178030303031</v>
      </c>
    </row>
    <row r="65" spans="2:6" ht="15" x14ac:dyDescent="0.35">
      <c r="B65" s="178" t="s">
        <v>373</v>
      </c>
      <c r="C65" s="10">
        <f>'6. Bull Cost'!E35</f>
        <v>21.875</v>
      </c>
      <c r="D65" s="10">
        <f t="shared" ref="D65:D66" si="1">C65*$D$62</f>
        <v>43.75</v>
      </c>
      <c r="E65" s="302">
        <f t="shared" ref="E65" si="2">IF($E$62=0,0,D65/$E$62)</f>
        <v>0.45572916666666669</v>
      </c>
      <c r="F65" s="10">
        <f t="shared" ref="F65:F67" si="3">IF($F$62=0,0,D65/$F$62)</f>
        <v>0.51787405303030298</v>
      </c>
    </row>
    <row r="66" spans="2:6" ht="15" x14ac:dyDescent="0.35">
      <c r="B66" s="178" t="s">
        <v>374</v>
      </c>
      <c r="C66" s="10">
        <f>'6. Bull Cost'!E36</f>
        <v>94.5</v>
      </c>
      <c r="D66" s="10">
        <f t="shared" si="1"/>
        <v>189</v>
      </c>
      <c r="E66" s="302">
        <f t="shared" ref="E66" si="4">IF($E$62=0,0,D66/$E$62)</f>
        <v>1.96875</v>
      </c>
      <c r="F66" s="10">
        <f t="shared" ref="F66" si="5">IF($F$62=0,0,D66/$F$62)</f>
        <v>2.2372159090909092</v>
      </c>
    </row>
    <row r="67" spans="2:6" ht="15.45" x14ac:dyDescent="0.4">
      <c r="B67" s="3" t="s">
        <v>101</v>
      </c>
      <c r="C67" s="67">
        <f>SUM(C64:C66)</f>
        <v>1613.875</v>
      </c>
      <c r="D67" s="67">
        <f>SUM(D64:D66)</f>
        <v>3227.75</v>
      </c>
      <c r="E67" s="314">
        <f>E64+E65</f>
        <v>31.653645833333336</v>
      </c>
      <c r="F67" s="67">
        <f t="shared" si="3"/>
        <v>38.207267992424242</v>
      </c>
    </row>
    <row r="68" spans="2:6" ht="15.45" x14ac:dyDescent="0.4">
      <c r="C68" s="456" t="s">
        <v>338</v>
      </c>
      <c r="D68" s="456"/>
      <c r="E68" s="456"/>
      <c r="F68" s="456"/>
    </row>
    <row r="69" spans="2:6" ht="15.45" x14ac:dyDescent="0.4">
      <c r="B69" s="3" t="s">
        <v>306</v>
      </c>
      <c r="C69" s="16">
        <f>'6. Bull Cost'!F40</f>
        <v>1890</v>
      </c>
      <c r="D69" s="16">
        <f>D62*C69</f>
        <v>3780</v>
      </c>
      <c r="E69" s="314">
        <f>IF($E$62=0,0,D69/$E$62)</f>
        <v>39.375</v>
      </c>
      <c r="F69" s="67">
        <f>IF($F$62=0,0,D69/$F$62)</f>
        <v>44.74431818181818</v>
      </c>
    </row>
    <row r="70" spans="2:6" ht="15.45" x14ac:dyDescent="0.4">
      <c r="C70" s="76" t="s">
        <v>288</v>
      </c>
      <c r="D70" s="21" t="s">
        <v>402</v>
      </c>
      <c r="E70" s="3" t="s">
        <v>403</v>
      </c>
      <c r="F70" s="22" t="s">
        <v>404</v>
      </c>
    </row>
  </sheetData>
  <sheetProtection sheet="1" objects="1" scenarios="1"/>
  <mergeCells count="3">
    <mergeCell ref="B1:G1"/>
    <mergeCell ref="B3:D3"/>
    <mergeCell ref="C68:F68"/>
  </mergeCells>
  <phoneticPr fontId="23" type="noConversion"/>
  <pageMargins left="0.95" right="0.45" top="0.75" bottom="0.75" header="0.3" footer="0.3"/>
  <pageSetup scale="77" orientation="portrait" r:id="rId1"/>
  <headerFooter>
    <oddFooter>&amp;L&amp;F&amp;R&amp;A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8"/>
  <sheetViews>
    <sheetView topLeftCell="A33" workbookViewId="0">
      <selection activeCell="G26" sqref="G26"/>
    </sheetView>
  </sheetViews>
  <sheetFormatPr defaultRowHeight="12.45" x14ac:dyDescent="0.3"/>
  <cols>
    <col min="1" max="1" width="2.84375" customWidth="1"/>
    <col min="2" max="2" width="39.765625" customWidth="1"/>
    <col min="4" max="4" width="13.23046875" customWidth="1"/>
    <col min="5" max="5" width="13.69140625" customWidth="1"/>
    <col min="6" max="6" width="11.765625" customWidth="1"/>
    <col min="7" max="7" width="15.84375" customWidth="1"/>
    <col min="8" max="9" width="13.69140625" customWidth="1"/>
    <col min="10" max="13" width="11.07421875" customWidth="1"/>
    <col min="14" max="14" width="11.69140625" customWidth="1"/>
    <col min="15" max="15" width="12.765625" customWidth="1"/>
    <col min="18" max="18" width="9.53515625" bestFit="1" customWidth="1"/>
    <col min="19" max="19" width="10.53515625" bestFit="1" customWidth="1"/>
  </cols>
  <sheetData>
    <row r="1" spans="2:14" ht="15.45" x14ac:dyDescent="0.4">
      <c r="B1" s="456" t="s">
        <v>50</v>
      </c>
      <c r="C1" s="456"/>
      <c r="D1" s="456"/>
      <c r="E1" s="456"/>
      <c r="F1" s="456"/>
      <c r="G1" s="456"/>
      <c r="H1" s="457"/>
      <c r="I1" s="457"/>
      <c r="J1" s="296"/>
      <c r="K1" s="296"/>
      <c r="L1" s="296"/>
      <c r="M1" s="296"/>
      <c r="N1" s="46"/>
    </row>
    <row r="2" spans="2:14" ht="15.45" x14ac:dyDescent="0.4">
      <c r="B2" s="422"/>
      <c r="C2" s="422"/>
      <c r="D2" s="422"/>
      <c r="E2" s="422"/>
      <c r="F2" s="422"/>
      <c r="G2" s="422"/>
      <c r="H2" s="423"/>
      <c r="I2" s="438"/>
      <c r="J2" s="422"/>
      <c r="K2" s="422"/>
      <c r="L2" s="422"/>
      <c r="M2" s="422"/>
      <c r="N2" s="422"/>
    </row>
    <row r="3" spans="2:14" ht="15.45" x14ac:dyDescent="0.4">
      <c r="B3" s="297" t="s">
        <v>493</v>
      </c>
      <c r="C3" s="296"/>
      <c r="D3" s="296"/>
      <c r="E3" s="296"/>
      <c r="F3" s="296"/>
      <c r="G3" s="296" t="s">
        <v>491</v>
      </c>
      <c r="H3" s="296"/>
      <c r="I3" s="437"/>
      <c r="J3" s="296"/>
      <c r="K3" s="296"/>
      <c r="L3" s="296"/>
      <c r="M3" s="296"/>
      <c r="N3" s="296"/>
    </row>
    <row r="4" spans="2:14" ht="15.45" x14ac:dyDescent="0.4">
      <c r="B4" s="296" t="s">
        <v>284</v>
      </c>
      <c r="C4" s="336">
        <f>'2.WeanedCalf to Sell Bred Heif '!C17</f>
        <v>96</v>
      </c>
      <c r="D4" s="426" t="s">
        <v>478</v>
      </c>
      <c r="E4" s="429">
        <f>'4.Conventional AI BreedingCost'!D13</f>
        <v>55</v>
      </c>
      <c r="F4" s="1"/>
      <c r="G4" s="296" t="s">
        <v>283</v>
      </c>
      <c r="H4" s="296"/>
      <c r="I4" s="437"/>
      <c r="J4" s="486" t="s">
        <v>285</v>
      </c>
      <c r="K4" s="463"/>
      <c r="L4" s="463"/>
      <c r="M4" s="463"/>
    </row>
    <row r="5" spans="2:14" ht="15.45" x14ac:dyDescent="0.4">
      <c r="D5" s="456" t="s">
        <v>477</v>
      </c>
      <c r="E5" s="457"/>
      <c r="F5" s="425">
        <v>20</v>
      </c>
      <c r="G5" s="311">
        <v>2</v>
      </c>
      <c r="J5" s="332">
        <f>((C4*D6*0.01/G5))</f>
        <v>21.6</v>
      </c>
      <c r="K5" s="21" t="s">
        <v>322</v>
      </c>
    </row>
    <row r="6" spans="2:14" ht="15.45" x14ac:dyDescent="0.4">
      <c r="B6" s="487" t="s">
        <v>479</v>
      </c>
      <c r="C6" s="488"/>
      <c r="D6" s="424">
        <f>100-E4</f>
        <v>45</v>
      </c>
      <c r="E6" s="2" t="s">
        <v>480</v>
      </c>
      <c r="F6" s="333">
        <f>(D6*C4*0.01)/F5</f>
        <v>2.16</v>
      </c>
      <c r="G6" s="47"/>
      <c r="H6" s="47"/>
      <c r="I6" s="47"/>
      <c r="J6" s="489" t="s">
        <v>481</v>
      </c>
      <c r="K6" s="490"/>
      <c r="L6" s="490"/>
      <c r="M6" s="490"/>
      <c r="N6" s="490"/>
    </row>
    <row r="7" spans="2:14" ht="15.45" x14ac:dyDescent="0.4">
      <c r="B7" s="47"/>
      <c r="C7" s="47"/>
      <c r="D7" s="3" t="s">
        <v>486</v>
      </c>
      <c r="E7" s="47"/>
      <c r="F7" s="333">
        <f>J5</f>
        <v>21.6</v>
      </c>
      <c r="G7" s="47"/>
      <c r="H7" s="47"/>
      <c r="I7" s="47"/>
    </row>
    <row r="8" spans="2:14" ht="46.3" x14ac:dyDescent="0.4">
      <c r="B8" s="3" t="s">
        <v>31</v>
      </c>
      <c r="C8" s="4"/>
      <c r="D8" s="4"/>
      <c r="E8" s="304" t="s">
        <v>483</v>
      </c>
      <c r="F8" s="304" t="s">
        <v>482</v>
      </c>
      <c r="G8" s="304" t="s">
        <v>320</v>
      </c>
      <c r="H8" s="2"/>
      <c r="I8" s="2"/>
    </row>
    <row r="9" spans="2:14" ht="15" x14ac:dyDescent="0.35">
      <c r="B9" s="2" t="s">
        <v>524</v>
      </c>
      <c r="C9" s="2"/>
      <c r="D9" s="2"/>
      <c r="E9" s="121">
        <v>800</v>
      </c>
      <c r="F9" s="24">
        <f>E9*$G$5</f>
        <v>1600</v>
      </c>
      <c r="G9" s="10">
        <f>IF($F$22=0,0,F9/$C$4)</f>
        <v>16.666666666666668</v>
      </c>
      <c r="H9" s="2"/>
      <c r="I9" s="2"/>
    </row>
    <row r="10" spans="2:14" ht="15" x14ac:dyDescent="0.35">
      <c r="B10" s="122" t="s">
        <v>33</v>
      </c>
      <c r="C10" s="2"/>
      <c r="D10" s="2"/>
      <c r="E10" s="123">
        <v>0</v>
      </c>
      <c r="F10" s="24">
        <f t="shared" ref="F10" si="0">E10*$G$5</f>
        <v>0</v>
      </c>
      <c r="G10" s="10">
        <f>IF($F$22=0,0,F10/$C$4)</f>
        <v>0</v>
      </c>
      <c r="H10" s="2"/>
      <c r="I10" s="2"/>
    </row>
    <row r="11" spans="2:14" ht="15" x14ac:dyDescent="0.35">
      <c r="B11" s="2" t="s">
        <v>494</v>
      </c>
      <c r="C11" s="2"/>
      <c r="D11" s="2"/>
      <c r="E11" s="123">
        <v>75</v>
      </c>
      <c r="F11" s="24">
        <f t="shared" ref="F11:F12" si="1">E11*$G$5</f>
        <v>150</v>
      </c>
      <c r="G11" s="10">
        <f>IF($F$22=0,0,F11/$C$4)</f>
        <v>1.5625</v>
      </c>
      <c r="H11" s="2"/>
      <c r="I11" s="2"/>
      <c r="J11" s="485" t="s">
        <v>278</v>
      </c>
      <c r="K11" s="485"/>
      <c r="L11" s="485"/>
    </row>
    <row r="12" spans="2:14" ht="15" x14ac:dyDescent="0.35">
      <c r="B12" s="2" t="s">
        <v>34</v>
      </c>
      <c r="C12" s="2"/>
      <c r="D12" s="2"/>
      <c r="E12" s="124">
        <f>(E9+E11)*0.5*C31*0.01</f>
        <v>21.875</v>
      </c>
      <c r="F12" s="24">
        <f t="shared" si="1"/>
        <v>43.75</v>
      </c>
      <c r="G12" s="10">
        <f>IF($F$22=0,0,F12/$C$4)</f>
        <v>0.45572916666666669</v>
      </c>
      <c r="H12" s="2"/>
      <c r="I12" s="2"/>
      <c r="J12" s="2"/>
      <c r="K12" s="2"/>
      <c r="L12" s="2"/>
      <c r="M12" s="2"/>
    </row>
    <row r="13" spans="2:14" ht="15.45" x14ac:dyDescent="0.4">
      <c r="B13" s="138" t="s">
        <v>35</v>
      </c>
      <c r="C13" s="168"/>
      <c r="D13" s="168"/>
      <c r="E13" s="169">
        <f>SUM(E9:E12)</f>
        <v>896.875</v>
      </c>
      <c r="F13" s="148">
        <f>E13*G5</f>
        <v>1793.75</v>
      </c>
      <c r="G13" s="67">
        <f>IF($F$22=0,0,F13/$C$4)</f>
        <v>18.684895833333332</v>
      </c>
      <c r="H13" s="4"/>
      <c r="I13" s="4"/>
      <c r="J13" s="127">
        <f>SUM(F9:F12)</f>
        <v>1793.75</v>
      </c>
      <c r="K13" s="4"/>
      <c r="L13" s="4"/>
      <c r="M13" s="4"/>
    </row>
    <row r="14" spans="2:14" ht="15.45" x14ac:dyDescent="0.4">
      <c r="B14" s="11"/>
      <c r="C14" s="2"/>
      <c r="D14" s="2"/>
      <c r="E14" s="25"/>
      <c r="F14" s="4"/>
      <c r="G14" s="126"/>
      <c r="H14" s="2"/>
      <c r="I14" s="2"/>
      <c r="J14" s="2"/>
      <c r="K14" s="2"/>
      <c r="L14" s="2"/>
      <c r="M14" s="2"/>
    </row>
    <row r="15" spans="2:14" ht="15.45" x14ac:dyDescent="0.4">
      <c r="B15" s="3" t="s">
        <v>36</v>
      </c>
      <c r="C15" s="4"/>
      <c r="D15" s="4"/>
      <c r="E15" s="4"/>
      <c r="F15" s="4"/>
      <c r="G15" s="4"/>
      <c r="H15" s="4"/>
      <c r="I15" s="4"/>
      <c r="J15" s="4"/>
      <c r="K15" s="4"/>
      <c r="L15" s="4"/>
      <c r="M15" s="4"/>
    </row>
    <row r="16" spans="2:14" ht="15" x14ac:dyDescent="0.35">
      <c r="B16" s="4" t="s">
        <v>37</v>
      </c>
      <c r="C16" s="4"/>
      <c r="D16" s="4"/>
      <c r="E16" s="127">
        <f>(G26-G29)/G27</f>
        <v>610</v>
      </c>
      <c r="F16" s="24">
        <f t="shared" ref="F16:F18" si="2">E16*$G$5</f>
        <v>1220</v>
      </c>
      <c r="G16" s="10">
        <f>IF($F$22=0,0,F16/$C$4)</f>
        <v>12.708333333333334</v>
      </c>
      <c r="H16" s="2"/>
      <c r="I16" s="2"/>
      <c r="J16" s="2"/>
      <c r="K16" s="2"/>
      <c r="L16" s="2"/>
      <c r="M16" s="2"/>
    </row>
    <row r="17" spans="1:17" ht="15" x14ac:dyDescent="0.35">
      <c r="B17" s="2" t="s">
        <v>38</v>
      </c>
      <c r="C17" s="2"/>
      <c r="D17" s="2"/>
      <c r="E17" s="12">
        <f>E42*C31*0.01</f>
        <v>94.5</v>
      </c>
      <c r="F17" s="24">
        <f t="shared" si="2"/>
        <v>189</v>
      </c>
      <c r="G17" s="10">
        <f>IF($F$22=0,0,F17/$C$4)</f>
        <v>1.96875</v>
      </c>
      <c r="H17" s="2"/>
      <c r="I17" s="2"/>
      <c r="J17" s="2"/>
      <c r="K17" s="2"/>
      <c r="L17" s="2"/>
      <c r="M17" s="2"/>
    </row>
    <row r="18" spans="1:17" ht="15.45" x14ac:dyDescent="0.4">
      <c r="B18" s="2" t="s">
        <v>98</v>
      </c>
      <c r="C18" s="454">
        <v>0.5</v>
      </c>
      <c r="D18" s="2" t="s">
        <v>6</v>
      </c>
      <c r="E18" s="24">
        <f>G26*C18*0.01</f>
        <v>12.5</v>
      </c>
      <c r="F18" s="24">
        <f t="shared" si="2"/>
        <v>25</v>
      </c>
      <c r="G18" s="10">
        <f>IF($F$22=0,0,F18/$C$4)</f>
        <v>0.26041666666666669</v>
      </c>
      <c r="H18" s="2"/>
      <c r="I18" s="2"/>
      <c r="J18" s="2"/>
      <c r="K18" s="2"/>
      <c r="L18" s="2"/>
      <c r="M18" s="2"/>
    </row>
    <row r="19" spans="1:17" ht="15.45" x14ac:dyDescent="0.4">
      <c r="B19" s="3" t="s">
        <v>39</v>
      </c>
      <c r="C19" s="4"/>
      <c r="D19" s="4"/>
      <c r="E19" s="125">
        <f>SUM(E16:E18)</f>
        <v>717</v>
      </c>
      <c r="F19" s="125">
        <f>SUM(F16:F18)</f>
        <v>1434</v>
      </c>
      <c r="G19" s="67">
        <f>IF($F$22=0,0,F19/$C$4)</f>
        <v>14.9375</v>
      </c>
      <c r="H19" s="2"/>
      <c r="I19" s="2"/>
      <c r="J19" s="2"/>
      <c r="K19" s="2"/>
      <c r="L19" s="2"/>
      <c r="M19" s="2"/>
    </row>
    <row r="20" spans="1:17" ht="15.45" x14ac:dyDescent="0.4">
      <c r="B20" s="3" t="s">
        <v>489</v>
      </c>
      <c r="C20" s="4"/>
      <c r="D20" s="4"/>
      <c r="E20" s="125"/>
      <c r="F20" s="125"/>
      <c r="G20" s="67">
        <f>G13+G19</f>
        <v>33.622395833333329</v>
      </c>
      <c r="H20" s="2"/>
      <c r="I20" s="2"/>
      <c r="J20" s="2"/>
      <c r="K20" s="2"/>
      <c r="L20" s="2"/>
      <c r="M20" s="2"/>
    </row>
    <row r="21" spans="1:17" ht="15.45" x14ac:dyDescent="0.4">
      <c r="B21" s="3"/>
      <c r="C21" s="4"/>
      <c r="D21" s="4"/>
      <c r="E21" s="159"/>
      <c r="F21" s="432" t="s">
        <v>487</v>
      </c>
      <c r="G21" s="100" t="s">
        <v>488</v>
      </c>
      <c r="J21" s="24">
        <f>E12+E17</f>
        <v>116.375</v>
      </c>
      <c r="K21" s="2" t="s">
        <v>214</v>
      </c>
      <c r="L21" s="2"/>
      <c r="M21" s="2"/>
    </row>
    <row r="22" spans="1:17" ht="15.45" x14ac:dyDescent="0.4">
      <c r="A22" s="1"/>
      <c r="B22" s="313" t="s">
        <v>495</v>
      </c>
      <c r="C22" s="313"/>
      <c r="D22" s="313"/>
      <c r="E22" s="101">
        <f>E13+E19</f>
        <v>1613.875</v>
      </c>
      <c r="F22" s="430">
        <f>J5</f>
        <v>21.6</v>
      </c>
      <c r="G22" s="281">
        <f>E22/F22</f>
        <v>74.716435185185176</v>
      </c>
      <c r="J22" s="127">
        <f>E22-J21</f>
        <v>1497.5</v>
      </c>
      <c r="K22" s="2" t="s">
        <v>298</v>
      </c>
      <c r="L22" s="52" t="s">
        <v>126</v>
      </c>
    </row>
    <row r="23" spans="1:17" ht="15" x14ac:dyDescent="0.35">
      <c r="E23" s="70"/>
      <c r="F23" s="70"/>
      <c r="G23" s="70"/>
      <c r="J23" s="127">
        <f>J21+J22</f>
        <v>1613.875</v>
      </c>
      <c r="K23" s="4"/>
      <c r="L23" s="52" t="s">
        <v>154</v>
      </c>
      <c r="M23" s="51"/>
    </row>
    <row r="24" spans="1:17" ht="15.45" x14ac:dyDescent="0.4">
      <c r="B24" s="138" t="s">
        <v>317</v>
      </c>
      <c r="C24" s="139"/>
      <c r="D24" s="139"/>
      <c r="E24" s="148">
        <f>E22-E17-E12</f>
        <v>1497.5</v>
      </c>
      <c r="F24" s="431">
        <f>F22</f>
        <v>21.6</v>
      </c>
      <c r="G24" s="170">
        <f>G22-G17-G12</f>
        <v>72.291956018518505</v>
      </c>
      <c r="H24" s="4"/>
      <c r="I24" s="4"/>
      <c r="J24" s="4"/>
      <c r="K24" s="4"/>
      <c r="M24" s="51"/>
      <c r="P24">
        <v>2</v>
      </c>
      <c r="Q24">
        <v>4</v>
      </c>
    </row>
    <row r="25" spans="1:17" ht="15" x14ac:dyDescent="0.35">
      <c r="B25" s="4"/>
      <c r="C25" s="4"/>
      <c r="D25" s="4"/>
      <c r="E25" s="127"/>
      <c r="F25" s="4"/>
      <c r="G25" s="4"/>
      <c r="H25" s="4"/>
      <c r="I25" s="4"/>
      <c r="J25" s="4"/>
      <c r="K25" s="4"/>
      <c r="L25" s="35">
        <f>C4</f>
        <v>96</v>
      </c>
      <c r="M25" t="s">
        <v>95</v>
      </c>
      <c r="P25">
        <v>50</v>
      </c>
      <c r="Q25">
        <v>25</v>
      </c>
    </row>
    <row r="26" spans="1:17" ht="15.45" x14ac:dyDescent="0.4">
      <c r="B26" s="3" t="s">
        <v>318</v>
      </c>
      <c r="C26" s="2"/>
      <c r="D26" s="2"/>
      <c r="E26" s="2"/>
      <c r="F26" s="2"/>
      <c r="G26" s="455">
        <v>2500</v>
      </c>
      <c r="H26" s="2"/>
      <c r="I26" s="2"/>
      <c r="J26" s="2"/>
      <c r="K26" s="2"/>
      <c r="M26" s="51"/>
      <c r="P26" s="21" t="s">
        <v>330</v>
      </c>
      <c r="Q26" s="21" t="s">
        <v>77</v>
      </c>
    </row>
    <row r="27" spans="1:17" ht="15" x14ac:dyDescent="0.35">
      <c r="B27" s="2" t="s">
        <v>319</v>
      </c>
      <c r="C27" s="2"/>
      <c r="D27" s="2"/>
      <c r="E27" s="2"/>
      <c r="F27" s="2"/>
      <c r="G27" s="428">
        <v>2</v>
      </c>
      <c r="H27" s="2"/>
      <c r="I27" s="2"/>
      <c r="J27" s="2"/>
      <c r="K27" s="2"/>
      <c r="L27" s="17">
        <f>E17+E12</f>
        <v>116.375</v>
      </c>
      <c r="M27" s="194" t="s">
        <v>149</v>
      </c>
      <c r="O27" s="21" t="s">
        <v>95</v>
      </c>
      <c r="P27" s="35">
        <f>'4.Conventional AI BreedingCost'!D7</f>
        <v>96</v>
      </c>
      <c r="Q27" s="35">
        <f>'2.WeanedCalf to Sell Bred Heif '!C17</f>
        <v>96</v>
      </c>
    </row>
    <row r="28" spans="1:17" ht="15" x14ac:dyDescent="0.35">
      <c r="B28" s="2"/>
      <c r="C28" s="2"/>
      <c r="D28" s="2"/>
      <c r="E28" s="56" t="s">
        <v>40</v>
      </c>
      <c r="F28" s="56" t="s">
        <v>41</v>
      </c>
      <c r="G28" s="56" t="s">
        <v>42</v>
      </c>
      <c r="H28" s="2"/>
      <c r="I28" s="2"/>
      <c r="J28" s="2"/>
      <c r="K28" s="2"/>
      <c r="L28" s="55">
        <f>H35</f>
        <v>0.45572916666666669</v>
      </c>
      <c r="M28" s="253" t="s">
        <v>241</v>
      </c>
      <c r="P28" s="29">
        <f>P27*L28</f>
        <v>43.75</v>
      </c>
      <c r="Q28" s="29">
        <f>Q27*L28</f>
        <v>43.75</v>
      </c>
    </row>
    <row r="29" spans="1:17" ht="15" x14ac:dyDescent="0.35">
      <c r="B29" s="2" t="s">
        <v>43</v>
      </c>
      <c r="C29" s="2"/>
      <c r="D29" s="2"/>
      <c r="E29" s="128">
        <v>1600</v>
      </c>
      <c r="F29" s="129">
        <v>80</v>
      </c>
      <c r="G29" s="12">
        <f>E29*F29*0.01</f>
        <v>1280</v>
      </c>
      <c r="H29" s="2"/>
      <c r="I29" s="2"/>
      <c r="J29" s="2"/>
      <c r="K29" s="2"/>
      <c r="L29" s="55">
        <f>E42/F24</f>
        <v>87.5</v>
      </c>
      <c r="M29" s="50" t="s">
        <v>496</v>
      </c>
      <c r="P29" s="250">
        <f>P27*L29</f>
        <v>8400</v>
      </c>
      <c r="Q29" s="250">
        <f>L29*Q27</f>
        <v>8400</v>
      </c>
    </row>
    <row r="30" spans="1:17" ht="15" x14ac:dyDescent="0.35">
      <c r="B30" s="2"/>
      <c r="C30" s="2"/>
      <c r="D30" s="2"/>
      <c r="E30" s="2"/>
      <c r="F30" s="2"/>
      <c r="G30" s="2"/>
      <c r="H30" s="2"/>
      <c r="I30" s="2"/>
      <c r="J30" s="2"/>
      <c r="K30" s="2"/>
      <c r="L30" s="2"/>
      <c r="M30" s="2"/>
      <c r="O30" s="48"/>
    </row>
    <row r="31" spans="1:17" ht="15" x14ac:dyDescent="0.35">
      <c r="B31" s="2" t="s">
        <v>44</v>
      </c>
      <c r="C31" s="130">
        <f>'2.WeanedCalf to Sell Bred Heif '!C67</f>
        <v>5</v>
      </c>
      <c r="D31" s="2" t="s">
        <v>6</v>
      </c>
      <c r="G31" s="2"/>
      <c r="H31" s="2"/>
      <c r="I31" s="2"/>
      <c r="J31" s="2"/>
      <c r="K31" s="2"/>
      <c r="L31" s="133"/>
      <c r="M31" s="2"/>
      <c r="N31" s="51"/>
      <c r="O31" s="51"/>
      <c r="P31" s="52"/>
    </row>
    <row r="32" spans="1:17" ht="15.45" x14ac:dyDescent="0.4">
      <c r="B32" s="3" t="s">
        <v>286</v>
      </c>
      <c r="C32" s="2"/>
      <c r="D32" s="2"/>
      <c r="E32" s="2"/>
      <c r="F32" s="2"/>
      <c r="G32" s="2"/>
      <c r="H32" s="2"/>
      <c r="I32" s="2"/>
      <c r="J32" s="2"/>
      <c r="K32" s="2"/>
      <c r="L32" s="2"/>
      <c r="M32" s="2"/>
    </row>
    <row r="33" spans="2:13" ht="15.45" x14ac:dyDescent="0.4">
      <c r="B33" s="3" t="s">
        <v>490</v>
      </c>
      <c r="C33" s="3" t="s">
        <v>287</v>
      </c>
      <c r="D33" s="3"/>
      <c r="E33" s="299" t="s">
        <v>288</v>
      </c>
      <c r="F33" s="3"/>
      <c r="G33" s="3" t="s">
        <v>289</v>
      </c>
      <c r="H33" s="22" t="s">
        <v>170</v>
      </c>
      <c r="I33" s="22"/>
      <c r="J33" s="22"/>
      <c r="K33" s="22"/>
      <c r="L33" s="22"/>
      <c r="M33" s="22"/>
    </row>
    <row r="34" spans="2:13" ht="15.45" x14ac:dyDescent="0.4">
      <c r="B34" s="22" t="s">
        <v>290</v>
      </c>
      <c r="C34" s="300">
        <f>G5</f>
        <v>2</v>
      </c>
      <c r="D34" s="178" t="s">
        <v>291</v>
      </c>
      <c r="E34" s="301">
        <f>E24</f>
        <v>1497.5</v>
      </c>
      <c r="F34" s="2"/>
      <c r="G34" s="24">
        <f>$C$34*$E34</f>
        <v>2995</v>
      </c>
      <c r="H34" s="10">
        <f>G34/$C$4</f>
        <v>31.197916666666668</v>
      </c>
      <c r="I34" s="10"/>
      <c r="J34" s="10"/>
      <c r="K34" s="10"/>
      <c r="L34" s="10"/>
      <c r="M34" s="10"/>
    </row>
    <row r="35" spans="2:13" ht="15.45" x14ac:dyDescent="0.4">
      <c r="B35" s="3"/>
      <c r="C35" s="300"/>
      <c r="D35" s="178" t="s">
        <v>373</v>
      </c>
      <c r="E35" s="302">
        <f>E12</f>
        <v>21.875</v>
      </c>
      <c r="F35" s="2"/>
      <c r="G35" s="24">
        <f t="shared" ref="G35:G36" si="3">$C$34*$E35</f>
        <v>43.75</v>
      </c>
      <c r="H35" s="10">
        <f>G35/$C$4</f>
        <v>0.45572916666666669</v>
      </c>
      <c r="I35" s="10"/>
      <c r="J35" s="10"/>
      <c r="K35" s="10"/>
      <c r="L35" s="10"/>
      <c r="M35" s="10"/>
    </row>
    <row r="36" spans="2:13" ht="15.45" x14ac:dyDescent="0.4">
      <c r="B36" s="3"/>
      <c r="C36" s="300"/>
      <c r="D36" s="178" t="s">
        <v>374</v>
      </c>
      <c r="E36" s="302">
        <f>E17</f>
        <v>94.5</v>
      </c>
      <c r="F36" s="2"/>
      <c r="G36" s="24">
        <f t="shared" si="3"/>
        <v>189</v>
      </c>
      <c r="H36" s="10">
        <f>G36/$C$4</f>
        <v>1.96875</v>
      </c>
      <c r="I36" s="10"/>
      <c r="J36" s="10"/>
      <c r="K36" s="10"/>
      <c r="L36" s="10"/>
      <c r="M36" s="10"/>
    </row>
    <row r="37" spans="2:13" ht="15.45" x14ac:dyDescent="0.4">
      <c r="B37" s="3"/>
      <c r="C37" s="2"/>
      <c r="D37" s="3" t="s">
        <v>80</v>
      </c>
      <c r="E37" s="25">
        <f>SUM(E34:E36)</f>
        <v>1613.875</v>
      </c>
      <c r="F37" s="2"/>
      <c r="G37" s="25">
        <f>SUM(G34:G36)</f>
        <v>3227.75</v>
      </c>
      <c r="H37" s="67">
        <f>G37/$C$4</f>
        <v>33.622395833333336</v>
      </c>
      <c r="I37" s="67"/>
      <c r="J37" s="67"/>
      <c r="K37" s="67"/>
      <c r="L37" s="67"/>
      <c r="M37" s="67"/>
    </row>
    <row r="38" spans="2:13" ht="15.45" x14ac:dyDescent="0.4">
      <c r="B38" s="3"/>
      <c r="C38" s="2"/>
      <c r="D38" s="3"/>
      <c r="E38" s="25"/>
      <c r="G38" s="25"/>
      <c r="H38" s="67"/>
      <c r="I38" s="67"/>
      <c r="J38" s="67"/>
      <c r="K38" s="67"/>
      <c r="L38" s="67"/>
      <c r="M38" s="67"/>
    </row>
    <row r="39" spans="2:13" ht="15.45" x14ac:dyDescent="0.4">
      <c r="B39" s="3" t="s">
        <v>292</v>
      </c>
      <c r="C39" s="37">
        <f>C4</f>
        <v>96</v>
      </c>
      <c r="D39" s="178"/>
      <c r="E39" s="76" t="s">
        <v>80</v>
      </c>
      <c r="F39" s="76" t="s">
        <v>293</v>
      </c>
      <c r="G39" s="76" t="s">
        <v>294</v>
      </c>
      <c r="H39" s="22" t="s">
        <v>170</v>
      </c>
      <c r="I39" s="22"/>
    </row>
    <row r="40" spans="2:13" ht="15.45" x14ac:dyDescent="0.4">
      <c r="B40" s="22" t="s">
        <v>295</v>
      </c>
      <c r="C40" s="303">
        <f>C34</f>
        <v>2</v>
      </c>
      <c r="D40" s="22" t="s">
        <v>21</v>
      </c>
      <c r="E40" s="16">
        <f>G26*C40</f>
        <v>5000</v>
      </c>
      <c r="F40" s="16">
        <f>E42</f>
        <v>1890</v>
      </c>
      <c r="G40" s="25">
        <f>C40*F40</f>
        <v>3780</v>
      </c>
      <c r="H40" s="67">
        <f>G40/$C$4</f>
        <v>39.375</v>
      </c>
      <c r="I40" s="67"/>
      <c r="J40" s="67"/>
      <c r="K40" s="67"/>
      <c r="L40" s="67"/>
      <c r="M40" s="67"/>
    </row>
    <row r="41" spans="2:13" ht="15.45" x14ac:dyDescent="0.4">
      <c r="B41" s="3" t="s">
        <v>286</v>
      </c>
      <c r="C41" s="2"/>
      <c r="D41" s="2"/>
      <c r="E41" s="2"/>
      <c r="F41" s="2"/>
      <c r="G41" s="2"/>
      <c r="H41" s="2"/>
      <c r="I41" s="2"/>
      <c r="J41" s="2"/>
      <c r="K41" s="2"/>
      <c r="L41" s="2"/>
      <c r="M41" s="2"/>
    </row>
    <row r="42" spans="2:13" ht="15" x14ac:dyDescent="0.35">
      <c r="B42" s="21" t="s">
        <v>45</v>
      </c>
      <c r="C42" s="4"/>
      <c r="D42" s="4"/>
      <c r="E42" s="324">
        <f>(G26+G29)/2</f>
        <v>1890</v>
      </c>
      <c r="F42" s="4"/>
      <c r="G42" s="4"/>
      <c r="H42" s="4"/>
      <c r="I42" s="4"/>
      <c r="J42" s="4"/>
      <c r="K42" s="4"/>
      <c r="L42" s="4"/>
      <c r="M42" s="4"/>
    </row>
    <row r="43" spans="2:13" x14ac:dyDescent="0.3">
      <c r="B43" s="298" t="s">
        <v>146</v>
      </c>
    </row>
    <row r="45" spans="2:13" ht="15.45" x14ac:dyDescent="0.4">
      <c r="B45" s="439" t="s">
        <v>504</v>
      </c>
      <c r="E45" t="s">
        <v>505</v>
      </c>
      <c r="F45" s="440"/>
      <c r="H45" s="37">
        <f>G5</f>
        <v>2</v>
      </c>
    </row>
    <row r="46" spans="2:13" ht="15.45" x14ac:dyDescent="0.4">
      <c r="B46" s="480" t="s">
        <v>506</v>
      </c>
      <c r="C46" s="481"/>
      <c r="D46" s="440"/>
      <c r="E46" s="440" t="s">
        <v>507</v>
      </c>
      <c r="F46" s="440"/>
      <c r="G46" s="441" t="s">
        <v>508</v>
      </c>
      <c r="H46" s="440"/>
      <c r="I46" s="76"/>
      <c r="J46" s="440"/>
    </row>
    <row r="47" spans="2:13" ht="15.45" x14ac:dyDescent="0.4">
      <c r="B47" s="279" t="s">
        <v>509</v>
      </c>
      <c r="C47" s="442" t="s">
        <v>510</v>
      </c>
      <c r="D47" s="440"/>
      <c r="E47" s="440" t="s">
        <v>511</v>
      </c>
      <c r="F47" s="440"/>
      <c r="G47" s="76" t="s">
        <v>512</v>
      </c>
      <c r="H47" s="440" t="s">
        <v>21</v>
      </c>
      <c r="I47" s="76" t="s">
        <v>54</v>
      </c>
      <c r="J47" s="76"/>
      <c r="K47" t="s">
        <v>513</v>
      </c>
    </row>
    <row r="48" spans="2:13" ht="15.45" x14ac:dyDescent="0.4">
      <c r="B48" s="228" t="s">
        <v>514</v>
      </c>
      <c r="C48" s="287">
        <v>4</v>
      </c>
      <c r="D48" s="443"/>
      <c r="E48" s="208">
        <v>75</v>
      </c>
      <c r="F48" s="444"/>
      <c r="G48" s="51">
        <f>C48*E48</f>
        <v>300</v>
      </c>
      <c r="H48" s="445">
        <v>1</v>
      </c>
      <c r="I48" s="24">
        <f>G48*H48</f>
        <v>300</v>
      </c>
      <c r="J48" s="51"/>
      <c r="K48">
        <f>C48*H48</f>
        <v>4</v>
      </c>
    </row>
    <row r="49" spans="2:12" ht="15.45" x14ac:dyDescent="0.4">
      <c r="B49" s="228" t="s">
        <v>515</v>
      </c>
      <c r="C49" s="287">
        <v>2</v>
      </c>
      <c r="D49" s="443"/>
      <c r="E49" s="208">
        <v>75</v>
      </c>
      <c r="F49" s="444"/>
      <c r="G49" s="51">
        <f t="shared" ref="G49:G54" si="4">C49*E49</f>
        <v>150</v>
      </c>
      <c r="H49" s="445">
        <v>1</v>
      </c>
      <c r="I49" s="24">
        <f t="shared" ref="I49:I54" si="5">G49*H49</f>
        <v>150</v>
      </c>
      <c r="J49" s="51"/>
      <c r="K49">
        <f t="shared" ref="K49:K54" si="6">C49*H49</f>
        <v>2</v>
      </c>
    </row>
    <row r="50" spans="2:12" ht="15.45" x14ac:dyDescent="0.4">
      <c r="B50" s="228" t="s">
        <v>516</v>
      </c>
      <c r="C50" s="287">
        <v>2</v>
      </c>
      <c r="D50" s="443"/>
      <c r="E50" s="208">
        <v>75</v>
      </c>
      <c r="F50" s="444"/>
      <c r="G50" s="51">
        <f t="shared" si="4"/>
        <v>150</v>
      </c>
      <c r="H50" s="445">
        <v>2</v>
      </c>
      <c r="I50" s="24">
        <f t="shared" si="5"/>
        <v>300</v>
      </c>
      <c r="J50" s="51"/>
      <c r="K50">
        <f t="shared" si="6"/>
        <v>4</v>
      </c>
    </row>
    <row r="51" spans="2:12" ht="15.45" x14ac:dyDescent="0.4">
      <c r="B51" s="228" t="s">
        <v>517</v>
      </c>
      <c r="C51" s="287">
        <v>3</v>
      </c>
      <c r="D51" s="443"/>
      <c r="E51" s="208">
        <v>75</v>
      </c>
      <c r="F51" s="444"/>
      <c r="G51" s="51">
        <f t="shared" si="4"/>
        <v>225</v>
      </c>
      <c r="H51" s="445">
        <v>2</v>
      </c>
      <c r="I51" s="24">
        <f t="shared" si="5"/>
        <v>450</v>
      </c>
      <c r="J51" s="51"/>
      <c r="K51">
        <f t="shared" si="6"/>
        <v>6</v>
      </c>
    </row>
    <row r="52" spans="2:12" ht="15.45" x14ac:dyDescent="0.4">
      <c r="B52" s="228" t="s">
        <v>518</v>
      </c>
      <c r="C52" s="287">
        <v>4</v>
      </c>
      <c r="D52" s="443"/>
      <c r="E52" s="208">
        <v>100</v>
      </c>
      <c r="F52" s="444"/>
      <c r="G52" s="51">
        <f t="shared" si="4"/>
        <v>400</v>
      </c>
      <c r="H52" s="445">
        <v>1</v>
      </c>
      <c r="I52" s="24">
        <f t="shared" si="5"/>
        <v>400</v>
      </c>
      <c r="J52" s="51"/>
      <c r="K52">
        <f t="shared" si="6"/>
        <v>4</v>
      </c>
    </row>
    <row r="53" spans="2:12" ht="15.45" x14ac:dyDescent="0.4">
      <c r="B53" s="228" t="s">
        <v>92</v>
      </c>
      <c r="C53" s="287">
        <v>0</v>
      </c>
      <c r="D53" s="443"/>
      <c r="E53" s="208">
        <v>0</v>
      </c>
      <c r="F53" s="444"/>
      <c r="G53" s="51">
        <f t="shared" si="4"/>
        <v>0</v>
      </c>
      <c r="H53" s="445">
        <v>0</v>
      </c>
      <c r="I53" s="24">
        <f t="shared" si="5"/>
        <v>0</v>
      </c>
      <c r="J53" s="51"/>
      <c r="K53">
        <f t="shared" si="6"/>
        <v>0</v>
      </c>
    </row>
    <row r="54" spans="2:12" ht="15.45" x14ac:dyDescent="0.4">
      <c r="B54" s="228" t="s">
        <v>92</v>
      </c>
      <c r="C54" s="287"/>
      <c r="D54" s="443"/>
      <c r="E54" s="208">
        <v>0</v>
      </c>
      <c r="F54" s="444"/>
      <c r="G54" s="51">
        <f t="shared" si="4"/>
        <v>0</v>
      </c>
      <c r="H54" s="445">
        <v>0</v>
      </c>
      <c r="I54" s="24">
        <f t="shared" si="5"/>
        <v>0</v>
      </c>
      <c r="J54" s="51"/>
      <c r="K54">
        <f t="shared" si="6"/>
        <v>0</v>
      </c>
      <c r="L54" t="s">
        <v>519</v>
      </c>
    </row>
    <row r="55" spans="2:12" ht="15.45" x14ac:dyDescent="0.4">
      <c r="B55" s="439" t="s">
        <v>101</v>
      </c>
      <c r="C55" s="446"/>
      <c r="D55" s="446"/>
      <c r="E55" s="208"/>
      <c r="F55" s="447"/>
      <c r="G55" s="448" t="s">
        <v>97</v>
      </c>
      <c r="H55" s="449" t="s">
        <v>101</v>
      </c>
      <c r="I55" s="450">
        <f>SUM(I48:I54)</f>
        <v>1600</v>
      </c>
      <c r="J55" s="448"/>
      <c r="K55" s="235">
        <f>SUM(K48:K54)</f>
        <v>20</v>
      </c>
      <c r="L55" s="244">
        <f>K55*(365/12)</f>
        <v>608.33333333333337</v>
      </c>
    </row>
    <row r="56" spans="2:12" ht="15.45" x14ac:dyDescent="0.4">
      <c r="B56" s="446"/>
      <c r="C56" s="439" t="s">
        <v>520</v>
      </c>
      <c r="F56" s="439"/>
      <c r="G56" s="451">
        <f>H45</f>
        <v>2</v>
      </c>
      <c r="H56" s="452" t="s">
        <v>521</v>
      </c>
      <c r="I56" s="450" t="s">
        <v>188</v>
      </c>
    </row>
    <row r="57" spans="2:12" ht="15.45" x14ac:dyDescent="0.4">
      <c r="B57" s="131" t="s">
        <v>522</v>
      </c>
      <c r="C57" s="446"/>
      <c r="D57" s="446"/>
      <c r="H57" s="51">
        <f>IF(L55=0,0,I55/L55)</f>
        <v>2.6301369863013697</v>
      </c>
      <c r="I57" s="448">
        <f>I55/G56</f>
        <v>800</v>
      </c>
    </row>
    <row r="58" spans="2:12" ht="14.15" x14ac:dyDescent="0.35">
      <c r="B58" s="482" t="s">
        <v>523</v>
      </c>
      <c r="C58" s="483"/>
      <c r="D58" s="483"/>
      <c r="E58" s="483"/>
      <c r="F58" s="483"/>
      <c r="G58" s="483"/>
      <c r="H58" s="483"/>
      <c r="I58" s="484"/>
      <c r="J58" s="453"/>
    </row>
  </sheetData>
  <sheetProtection sheet="1" objects="1" scenarios="1"/>
  <mergeCells count="8">
    <mergeCell ref="B1:I1"/>
    <mergeCell ref="B46:C46"/>
    <mergeCell ref="B58:I58"/>
    <mergeCell ref="J11:L11"/>
    <mergeCell ref="D5:E5"/>
    <mergeCell ref="J4:M4"/>
    <mergeCell ref="B6:C6"/>
    <mergeCell ref="J6:N6"/>
  </mergeCells>
  <phoneticPr fontId="5" type="noConversion"/>
  <pageMargins left="1" right="0.5" top="1" bottom="1" header="0.5" footer="0.5"/>
  <pageSetup scale="69" orientation="portrait"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P44"/>
  <sheetViews>
    <sheetView topLeftCell="A33" zoomScaleNormal="100" workbookViewId="0">
      <selection activeCell="E23" sqref="E23"/>
    </sheetView>
  </sheetViews>
  <sheetFormatPr defaultRowHeight="12.45" x14ac:dyDescent="0.3"/>
  <cols>
    <col min="1" max="1" width="4" customWidth="1"/>
    <col min="2" max="2" width="43" customWidth="1"/>
    <col min="3" max="3" width="14" customWidth="1"/>
    <col min="4" max="4" width="12.07421875" customWidth="1"/>
    <col min="5" max="5" width="10.84375" customWidth="1"/>
    <col min="6" max="6" width="16.3046875" customWidth="1"/>
    <col min="7" max="7" width="12" customWidth="1"/>
    <col min="8" max="8" width="3.23046875" hidden="1" customWidth="1"/>
    <col min="9" max="9" width="10.84375" customWidth="1"/>
    <col min="10" max="10" width="9.07421875" customWidth="1"/>
  </cols>
  <sheetData>
    <row r="1" spans="2:16" ht="17.600000000000001" x14ac:dyDescent="0.4">
      <c r="B1" s="472" t="s">
        <v>299</v>
      </c>
      <c r="C1" s="472"/>
      <c r="D1" s="473"/>
      <c r="E1" s="473"/>
      <c r="F1" s="473"/>
      <c r="G1" s="473"/>
      <c r="H1" s="473"/>
      <c r="I1" s="463"/>
    </row>
    <row r="3" spans="2:16" ht="15.45" x14ac:dyDescent="0.4">
      <c r="B3" s="3" t="s">
        <v>75</v>
      </c>
      <c r="C3" s="387" t="str">
        <f>'2.WeanedCalf to Sell Bred Heif '!F5</f>
        <v>Conventional AI</v>
      </c>
      <c r="D3" s="174"/>
      <c r="E3" s="174"/>
      <c r="F3" s="174"/>
      <c r="H3" s="174"/>
    </row>
    <row r="4" spans="2:16" ht="15.45" x14ac:dyDescent="0.4">
      <c r="B4" s="3" t="s">
        <v>328</v>
      </c>
      <c r="C4" s="185">
        <f>IF('2.WeanedCalf to Sell Bred Heif '!E5=1,0,'2.WeanedCalf to Sell Bred Heif '!C17)</f>
        <v>0</v>
      </c>
      <c r="F4" s="174"/>
      <c r="H4" s="174"/>
      <c r="J4">
        <f>'2.WeanedCalf to Sell Bred Heif '!C17</f>
        <v>96</v>
      </c>
      <c r="K4" s="21" t="s">
        <v>95</v>
      </c>
      <c r="L4" s="35">
        <f>D8*J4</f>
        <v>81.599999999999994</v>
      </c>
      <c r="M4" s="21" t="s">
        <v>443</v>
      </c>
    </row>
    <row r="5" spans="2:16" ht="15.45" x14ac:dyDescent="0.4">
      <c r="B5" s="3"/>
      <c r="C5" s="174" t="s">
        <v>297</v>
      </c>
      <c r="E5" s="387" t="s">
        <v>499</v>
      </c>
      <c r="J5" s="21" t="s">
        <v>300</v>
      </c>
      <c r="L5" s="174"/>
    </row>
    <row r="6" spans="2:16" ht="15.45" x14ac:dyDescent="0.4">
      <c r="B6" s="3" t="s">
        <v>394</v>
      </c>
      <c r="C6" s="206">
        <f>'6. Bull Cost'!F5</f>
        <v>20</v>
      </c>
      <c r="D6" s="427"/>
      <c r="E6" s="435">
        <v>5</v>
      </c>
      <c r="F6" s="427"/>
      <c r="J6" s="3">
        <f>IF(C6=0,0,C4/C6)</f>
        <v>0</v>
      </c>
      <c r="L6" s="174"/>
      <c r="M6" s="376" t="s">
        <v>285</v>
      </c>
      <c r="N6" s="375"/>
      <c r="O6" s="375"/>
      <c r="P6" s="375"/>
    </row>
    <row r="7" spans="2:16" ht="15" x14ac:dyDescent="0.35">
      <c r="E7" s="436" t="s">
        <v>500</v>
      </c>
      <c r="F7" s="74"/>
      <c r="H7" s="74"/>
    </row>
    <row r="8" spans="2:16" ht="15.45" x14ac:dyDescent="0.4">
      <c r="B8" s="3" t="s">
        <v>151</v>
      </c>
      <c r="C8" s="6" t="s">
        <v>6</v>
      </c>
      <c r="D8" s="415">
        <f>'2.WeanedCalf to Sell Bred Heif '!G19*0.01</f>
        <v>0.85</v>
      </c>
      <c r="E8" s="74"/>
      <c r="F8" s="74"/>
      <c r="H8" s="74"/>
    </row>
    <row r="9" spans="2:16" ht="15.45" x14ac:dyDescent="0.4">
      <c r="B9" s="66"/>
      <c r="C9" s="65"/>
      <c r="D9" s="188" t="s">
        <v>21</v>
      </c>
      <c r="E9" s="188"/>
    </row>
    <row r="10" spans="2:16" ht="15.45" x14ac:dyDescent="0.4">
      <c r="B10" s="2" t="s">
        <v>145</v>
      </c>
      <c r="C10" s="56" t="s">
        <v>356</v>
      </c>
      <c r="D10" s="73">
        <f>+D8*C4*0.5</f>
        <v>0</v>
      </c>
      <c r="E10" s="114"/>
    </row>
    <row r="11" spans="2:16" ht="15.45" x14ac:dyDescent="0.4">
      <c r="B11" s="66"/>
      <c r="C11" s="56" t="s">
        <v>395</v>
      </c>
      <c r="D11" s="73">
        <f>D10</f>
        <v>0</v>
      </c>
      <c r="E11" s="114"/>
    </row>
    <row r="12" spans="2:16" ht="15.45" x14ac:dyDescent="0.4">
      <c r="B12" s="3"/>
      <c r="C12" s="46" t="s">
        <v>80</v>
      </c>
      <c r="D12" s="37">
        <f>D10+D11</f>
        <v>0</v>
      </c>
      <c r="E12" s="334"/>
      <c r="F12" s="78"/>
      <c r="H12" s="35"/>
      <c r="J12" s="7">
        <f>J4-D12</f>
        <v>96</v>
      </c>
      <c r="K12" s="2" t="s">
        <v>461</v>
      </c>
      <c r="L12" s="2"/>
    </row>
    <row r="13" spans="2:16" ht="15" x14ac:dyDescent="0.35">
      <c r="B13" s="90" t="s">
        <v>83</v>
      </c>
      <c r="C13" s="90"/>
      <c r="D13" s="90"/>
      <c r="E13" s="90"/>
      <c r="F13" s="90"/>
      <c r="G13" s="90"/>
      <c r="H13" s="90"/>
      <c r="I13" s="357"/>
      <c r="J13" s="70"/>
    </row>
    <row r="14" spans="2:16" ht="15.45" x14ac:dyDescent="0.4">
      <c r="C14" s="381" t="s">
        <v>95</v>
      </c>
      <c r="D14" s="374" t="s">
        <v>85</v>
      </c>
      <c r="E14" s="91"/>
      <c r="F14" s="374" t="s">
        <v>170</v>
      </c>
      <c r="G14" s="374" t="s">
        <v>6</v>
      </c>
      <c r="H14" s="56"/>
      <c r="I14" s="374" t="s">
        <v>101</v>
      </c>
    </row>
    <row r="15" spans="2:16" ht="17.600000000000001" x14ac:dyDescent="0.4">
      <c r="B15" s="68"/>
      <c r="C15" s="3" t="s">
        <v>382</v>
      </c>
      <c r="D15" s="374" t="s">
        <v>86</v>
      </c>
      <c r="E15" s="93" t="s">
        <v>87</v>
      </c>
      <c r="F15" s="374" t="s">
        <v>88</v>
      </c>
      <c r="G15" s="374" t="s">
        <v>89</v>
      </c>
      <c r="H15" s="374" t="s">
        <v>80</v>
      </c>
      <c r="I15" s="374" t="s">
        <v>305</v>
      </c>
    </row>
    <row r="16" spans="2:16" ht="15.45" x14ac:dyDescent="0.4">
      <c r="B16" s="3" t="s">
        <v>84</v>
      </c>
      <c r="C16" s="382">
        <f>C4</f>
        <v>0</v>
      </c>
      <c r="D16" s="374"/>
      <c r="E16" s="93"/>
      <c r="F16" s="374"/>
      <c r="G16" s="2"/>
      <c r="H16" s="374"/>
    </row>
    <row r="17" spans="2:12" ht="15.45" x14ac:dyDescent="0.4">
      <c r="B17" s="3" t="s">
        <v>352</v>
      </c>
      <c r="C17" s="92" t="s">
        <v>86</v>
      </c>
      <c r="D17" s="374"/>
      <c r="E17" s="93"/>
      <c r="F17" s="374"/>
      <c r="G17" s="2"/>
      <c r="H17" s="374"/>
    </row>
    <row r="18" spans="2:12" ht="15" x14ac:dyDescent="0.35">
      <c r="B18" s="340" t="s">
        <v>329</v>
      </c>
      <c r="C18" s="9" t="s">
        <v>21</v>
      </c>
      <c r="D18" s="377">
        <v>100</v>
      </c>
      <c r="E18" s="208">
        <v>5</v>
      </c>
      <c r="F18" s="94">
        <f>IF($C$16=0,0,I18/$C$16)</f>
        <v>0</v>
      </c>
      <c r="G18" s="61">
        <f>IF($I$24=0,0,I18/$I$28)</f>
        <v>0</v>
      </c>
      <c r="H18" s="95">
        <f>IF($C$18=0,0,D18*E18)</f>
        <v>500</v>
      </c>
      <c r="I18" s="378">
        <f>IF(C4=0,0,D18*E18)</f>
        <v>0</v>
      </c>
    </row>
    <row r="19" spans="2:12" ht="15.45" x14ac:dyDescent="0.4">
      <c r="B19" s="340" t="s">
        <v>92</v>
      </c>
      <c r="C19" s="208" t="s">
        <v>21</v>
      </c>
      <c r="D19" s="53">
        <f>$C$16</f>
        <v>0</v>
      </c>
      <c r="E19" s="208">
        <v>0</v>
      </c>
      <c r="F19" s="94">
        <f t="shared" ref="F19:F26" si="0">IF($C$16=0,0,I19/$C$16)</f>
        <v>0</v>
      </c>
      <c r="G19" s="61">
        <f t="shared" ref="G19:G24" si="1">IF($I$24=0,0,I19/$I$28)</f>
        <v>0</v>
      </c>
      <c r="H19" s="95">
        <f t="shared" ref="H19" si="2">IF($C$18=0,0,D19*E19)</f>
        <v>0</v>
      </c>
      <c r="I19" s="378">
        <f t="shared" ref="I19:I23" si="3">D19*E19</f>
        <v>0</v>
      </c>
      <c r="J19" s="3"/>
      <c r="K19" s="5"/>
      <c r="L19" s="196"/>
    </row>
    <row r="20" spans="2:12" ht="15" x14ac:dyDescent="0.35">
      <c r="B20" s="340" t="s">
        <v>92</v>
      </c>
      <c r="C20" s="208" t="s">
        <v>21</v>
      </c>
      <c r="D20" s="53">
        <f t="shared" ref="D20:D23" si="4">$C$16</f>
        <v>0</v>
      </c>
      <c r="E20" s="208">
        <v>0</v>
      </c>
      <c r="F20" s="94">
        <f t="shared" si="0"/>
        <v>0</v>
      </c>
      <c r="G20" s="61">
        <f t="shared" si="1"/>
        <v>0</v>
      </c>
      <c r="I20" s="378">
        <f t="shared" si="3"/>
        <v>0</v>
      </c>
    </row>
    <row r="21" spans="2:12" ht="15" x14ac:dyDescent="0.35">
      <c r="B21" s="340" t="s">
        <v>92</v>
      </c>
      <c r="C21" s="208" t="s">
        <v>21</v>
      </c>
      <c r="D21" s="53">
        <f t="shared" si="4"/>
        <v>0</v>
      </c>
      <c r="E21" s="208">
        <v>0</v>
      </c>
      <c r="F21" s="94">
        <f t="shared" si="0"/>
        <v>0</v>
      </c>
      <c r="G21" s="61">
        <f t="shared" si="1"/>
        <v>0</v>
      </c>
      <c r="I21" s="378">
        <f t="shared" si="3"/>
        <v>0</v>
      </c>
    </row>
    <row r="22" spans="2:12" ht="15" x14ac:dyDescent="0.35">
      <c r="B22" s="340" t="s">
        <v>92</v>
      </c>
      <c r="C22" s="208" t="s">
        <v>21</v>
      </c>
      <c r="D22" s="53">
        <f t="shared" si="4"/>
        <v>0</v>
      </c>
      <c r="E22" s="208">
        <v>0</v>
      </c>
      <c r="F22" s="94">
        <f t="shared" si="0"/>
        <v>0</v>
      </c>
      <c r="G22" s="61">
        <f t="shared" si="1"/>
        <v>0</v>
      </c>
      <c r="I22" s="378">
        <f t="shared" si="3"/>
        <v>0</v>
      </c>
    </row>
    <row r="23" spans="2:12" ht="15" x14ac:dyDescent="0.35">
      <c r="B23" s="2" t="s">
        <v>91</v>
      </c>
      <c r="C23" s="208" t="s">
        <v>21</v>
      </c>
      <c r="D23" s="53">
        <f t="shared" si="4"/>
        <v>0</v>
      </c>
      <c r="E23" s="208">
        <v>5</v>
      </c>
      <c r="F23" s="94">
        <f t="shared" si="0"/>
        <v>0</v>
      </c>
      <c r="G23" s="61">
        <f t="shared" si="1"/>
        <v>0</v>
      </c>
      <c r="I23" s="378">
        <f t="shared" si="3"/>
        <v>0</v>
      </c>
    </row>
    <row r="24" spans="2:12" ht="15.45" x14ac:dyDescent="0.4">
      <c r="B24" s="97" t="s">
        <v>377</v>
      </c>
      <c r="C24" s="340"/>
      <c r="D24" s="71"/>
      <c r="E24" s="196"/>
      <c r="F24" s="107">
        <f t="shared" si="0"/>
        <v>0</v>
      </c>
      <c r="G24" s="114">
        <f t="shared" si="1"/>
        <v>0</v>
      </c>
      <c r="I24" s="25">
        <f>SUM(I18:I23)</f>
        <v>0</v>
      </c>
    </row>
    <row r="25" spans="2:12" x14ac:dyDescent="0.3">
      <c r="B25" s="52"/>
      <c r="C25" s="52"/>
    </row>
    <row r="26" spans="2:12" ht="15.45" x14ac:dyDescent="0.4">
      <c r="B26" s="5" t="s">
        <v>378</v>
      </c>
      <c r="C26" s="180"/>
      <c r="F26" s="107">
        <f t="shared" si="0"/>
        <v>0</v>
      </c>
      <c r="G26" s="114">
        <f t="shared" ref="G26" si="5">IF($I$24=0,0,I26/$I$28)</f>
        <v>0</v>
      </c>
      <c r="I26" s="25">
        <f>D37+D38</f>
        <v>7960</v>
      </c>
    </row>
    <row r="27" spans="2:12" ht="15.45" x14ac:dyDescent="0.4">
      <c r="B27" s="75"/>
      <c r="C27" s="87"/>
      <c r="D27" s="75"/>
      <c r="E27" s="87"/>
      <c r="F27" s="69"/>
      <c r="H27" s="69"/>
    </row>
    <row r="28" spans="2:12" ht="15.45" x14ac:dyDescent="0.4">
      <c r="B28" s="222" t="s">
        <v>367</v>
      </c>
      <c r="C28" s="363"/>
      <c r="D28" s="364">
        <f>C4</f>
        <v>0</v>
      </c>
      <c r="E28" s="327"/>
      <c r="F28" s="365">
        <f>IF(D28=0,0,I28/D28)</f>
        <v>0</v>
      </c>
      <c r="G28" s="327"/>
      <c r="H28" s="328" t="e">
        <f>H25+#REF!</f>
        <v>#REF!</v>
      </c>
      <c r="I28" s="293">
        <f>I26+I24</f>
        <v>7960</v>
      </c>
    </row>
    <row r="29" spans="2:12" ht="15" x14ac:dyDescent="0.35">
      <c r="B29" s="79"/>
      <c r="C29" s="21"/>
      <c r="D29" s="79"/>
      <c r="E29" s="79"/>
      <c r="G29" s="110"/>
    </row>
    <row r="30" spans="2:12" ht="15.45" x14ac:dyDescent="0.4">
      <c r="B30" s="367" t="s">
        <v>368</v>
      </c>
      <c r="C30" s="144"/>
      <c r="D30" s="368">
        <f>D12</f>
        <v>0</v>
      </c>
      <c r="E30" s="367"/>
      <c r="F30" s="379">
        <f>IF(D30=0,0,I28/D30)</f>
        <v>0</v>
      </c>
      <c r="I30" s="383"/>
    </row>
    <row r="31" spans="2:12" ht="15.45" x14ac:dyDescent="0.4">
      <c r="B31" s="89" t="s">
        <v>380</v>
      </c>
      <c r="C31" s="112"/>
      <c r="D31" s="370"/>
      <c r="E31" s="89"/>
      <c r="F31" s="70"/>
      <c r="G31" s="371"/>
      <c r="H31" s="70"/>
    </row>
    <row r="32" spans="2:12" x14ac:dyDescent="0.3">
      <c r="B32" s="21" t="s">
        <v>369</v>
      </c>
    </row>
    <row r="33" spans="2:10" ht="14.15" x14ac:dyDescent="0.35">
      <c r="B33" s="21"/>
      <c r="E33" s="22" t="s">
        <v>386</v>
      </c>
    </row>
    <row r="34" spans="2:10" ht="15.45" x14ac:dyDescent="0.4">
      <c r="B34" s="180"/>
      <c r="D34" s="3" t="s">
        <v>381</v>
      </c>
      <c r="E34" s="22" t="s">
        <v>387</v>
      </c>
      <c r="F34" s="3" t="s">
        <v>171</v>
      </c>
    </row>
    <row r="35" spans="2:10" ht="15.45" x14ac:dyDescent="0.4">
      <c r="B35" s="5"/>
      <c r="C35" s="374" t="s">
        <v>288</v>
      </c>
      <c r="D35" s="374">
        <f>E6</f>
        <v>5</v>
      </c>
      <c r="E35" s="380">
        <f>C4</f>
        <v>0</v>
      </c>
      <c r="F35" s="380">
        <f>D12</f>
        <v>0</v>
      </c>
    </row>
    <row r="36" spans="2:10" ht="15.45" x14ac:dyDescent="0.4">
      <c r="B36" s="2"/>
      <c r="C36" s="374" t="s">
        <v>305</v>
      </c>
      <c r="D36" s="3" t="s">
        <v>304</v>
      </c>
      <c r="E36" s="384" t="s">
        <v>301</v>
      </c>
      <c r="F36" s="67" t="s">
        <v>388</v>
      </c>
    </row>
    <row r="37" spans="2:10" ht="15" x14ac:dyDescent="0.35">
      <c r="B37" s="22" t="s">
        <v>291</v>
      </c>
      <c r="C37" s="24">
        <f>'6. Bull Cost'!E34</f>
        <v>1497.5</v>
      </c>
      <c r="D37" s="24">
        <f>'6. Bull Cost'!E34*$E$6</f>
        <v>7487.5</v>
      </c>
      <c r="E37" s="302">
        <f>IF($E$35=0,0,D37/$C$4)</f>
        <v>0</v>
      </c>
      <c r="F37" s="10">
        <f>IF($F$35=0,0,D37/$D$12)</f>
        <v>0</v>
      </c>
    </row>
    <row r="38" spans="2:10" ht="15" x14ac:dyDescent="0.35">
      <c r="B38" s="22" t="s">
        <v>379</v>
      </c>
      <c r="C38" s="24">
        <f>'6. Bull Cost'!E36</f>
        <v>94.5</v>
      </c>
      <c r="D38" s="24">
        <f>'6. Bull Cost'!E36*$E$6</f>
        <v>472.5</v>
      </c>
      <c r="E38" s="302">
        <f>IF($E$35=0,0,D38/$C$4)</f>
        <v>0</v>
      </c>
      <c r="F38" s="10">
        <f>IF($F$35=0,0,D38/$D$12)</f>
        <v>0</v>
      </c>
      <c r="I38" s="51"/>
      <c r="J38" s="26"/>
    </row>
    <row r="39" spans="2:10" ht="15" x14ac:dyDescent="0.35">
      <c r="B39" s="22" t="s">
        <v>383</v>
      </c>
      <c r="C39" s="24">
        <f>'6. Bull Cost'!E35</f>
        <v>21.875</v>
      </c>
      <c r="D39" s="24">
        <f>'6. Bull Cost'!E35*$E$6</f>
        <v>109.375</v>
      </c>
      <c r="E39" s="302">
        <f>IF($E$35=0,0,D39/$C$4)</f>
        <v>0</v>
      </c>
      <c r="F39" s="10">
        <f>IF($F$35=0,0,D39/$D$12)</f>
        <v>0</v>
      </c>
    </row>
    <row r="41" spans="2:10" ht="15.45" x14ac:dyDescent="0.4">
      <c r="B41" s="3" t="s">
        <v>389</v>
      </c>
      <c r="C41" s="25">
        <f>SUM(C37:C39)</f>
        <v>1613.875</v>
      </c>
      <c r="D41" s="25">
        <f>SUM(D37:D39)</f>
        <v>8069.375</v>
      </c>
      <c r="E41" s="314">
        <f>IF($E$35=0,0,D41/$C$4)</f>
        <v>0</v>
      </c>
      <c r="F41" s="67">
        <f>IF($F$35=0,0,D41/$D$12)</f>
        <v>0</v>
      </c>
    </row>
    <row r="42" spans="2:10" ht="15.45" x14ac:dyDescent="0.4">
      <c r="B42" s="3"/>
      <c r="C42" s="67"/>
      <c r="D42" s="67"/>
      <c r="E42" s="302"/>
      <c r="F42" s="10"/>
    </row>
    <row r="43" spans="2:10" ht="15.45" x14ac:dyDescent="0.4">
      <c r="C43" s="3" t="s">
        <v>325</v>
      </c>
      <c r="D43" s="3" t="s">
        <v>384</v>
      </c>
      <c r="E43" s="3" t="s">
        <v>385</v>
      </c>
      <c r="F43" s="51"/>
    </row>
    <row r="44" spans="2:10" ht="15.45" x14ac:dyDescent="0.4">
      <c r="B44" s="3" t="s">
        <v>306</v>
      </c>
      <c r="C44" s="16">
        <f>'6. Bull Cost'!F40</f>
        <v>1890</v>
      </c>
      <c r="D44" s="16">
        <f>D35*C44</f>
        <v>9450</v>
      </c>
      <c r="E44" s="314">
        <f>IF($E$35=0,0,D44/$C$4)</f>
        <v>0</v>
      </c>
      <c r="F44" s="67">
        <f>IF($F$35=0,0,D44/$D$12)</f>
        <v>0</v>
      </c>
    </row>
  </sheetData>
  <sheetProtection sheet="1" objects="1" scenarios="1"/>
  <mergeCells count="1">
    <mergeCell ref="B1:I1"/>
  </mergeCells>
  <phoneticPr fontId="23" type="noConversion"/>
  <pageMargins left="0.95" right="0.45" top="0.75" bottom="0.75" header="0.3" footer="0.3"/>
  <pageSetup scale="77" orientation="portrait" r:id="rId1"/>
  <headerFoot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7C2B7-FB8B-4653-BD36-4CE35D1B5D0B}">
  <sheetPr>
    <pageSetUpPr fitToPage="1"/>
  </sheetPr>
  <dimension ref="B1:K72"/>
  <sheetViews>
    <sheetView topLeftCell="A29" zoomScale="90" zoomScaleNormal="90" workbookViewId="0">
      <selection activeCell="J70" sqref="J70"/>
    </sheetView>
  </sheetViews>
  <sheetFormatPr defaultRowHeight="12.45" x14ac:dyDescent="0.3"/>
  <cols>
    <col min="1" max="1" width="3.07421875" customWidth="1"/>
    <col min="2" max="2" width="6.3046875" customWidth="1"/>
    <col min="3" max="3" width="17.23046875" customWidth="1"/>
    <col min="4" max="4" width="16.4609375" customWidth="1"/>
    <col min="5" max="5" width="13.07421875" customWidth="1"/>
    <col min="6" max="6" width="17" customWidth="1"/>
    <col min="7" max="7" width="12.07421875" customWidth="1"/>
    <col min="8" max="8" width="13.69140625" customWidth="1"/>
    <col min="9" max="9" width="12.3046875" customWidth="1"/>
    <col min="10" max="10" width="13.69140625" customWidth="1"/>
    <col min="11" max="11" width="10.765625" customWidth="1"/>
  </cols>
  <sheetData>
    <row r="1" spans="2:11" ht="15.45" x14ac:dyDescent="0.4">
      <c r="C1" s="456" t="s">
        <v>428</v>
      </c>
      <c r="D1" s="465"/>
      <c r="E1" s="465"/>
      <c r="F1" s="465"/>
      <c r="G1" s="465"/>
      <c r="H1" s="465"/>
      <c r="I1" s="465"/>
      <c r="J1" s="465"/>
      <c r="K1" s="463"/>
    </row>
    <row r="2" spans="2:11" ht="15.45" x14ac:dyDescent="0.4">
      <c r="G2" s="403"/>
      <c r="H2" s="403"/>
      <c r="I2" s="405"/>
      <c r="J2" s="405"/>
    </row>
    <row r="3" spans="2:11" ht="15.45" x14ac:dyDescent="0.4">
      <c r="C3" s="491" t="s">
        <v>429</v>
      </c>
      <c r="D3" s="492"/>
      <c r="E3" s="492"/>
      <c r="F3" s="492"/>
      <c r="G3" s="463"/>
      <c r="H3" s="463"/>
      <c r="I3" s="405"/>
      <c r="J3" s="405"/>
    </row>
    <row r="4" spans="2:11" ht="15" x14ac:dyDescent="0.35">
      <c r="C4" s="56"/>
      <c r="D4" s="56" t="s">
        <v>430</v>
      </c>
      <c r="E4" s="56" t="s">
        <v>159</v>
      </c>
      <c r="F4" s="56" t="s">
        <v>79</v>
      </c>
      <c r="G4" s="56" t="s">
        <v>159</v>
      </c>
    </row>
    <row r="5" spans="2:11" ht="15.45" x14ac:dyDescent="0.4">
      <c r="C5" s="403" t="s">
        <v>431</v>
      </c>
      <c r="D5" s="56" t="s">
        <v>82</v>
      </c>
      <c r="E5" s="56" t="s">
        <v>82</v>
      </c>
      <c r="F5" s="56" t="s">
        <v>82</v>
      </c>
      <c r="G5" s="56" t="s">
        <v>82</v>
      </c>
    </row>
    <row r="6" spans="2:11" ht="15.45" x14ac:dyDescent="0.4">
      <c r="C6" s="380">
        <f>'4.Conventional AI BreedingCost'!D7</f>
        <v>96</v>
      </c>
      <c r="D6" s="266" t="s">
        <v>6</v>
      </c>
      <c r="E6" s="56" t="s">
        <v>21</v>
      </c>
      <c r="F6" s="56" t="s">
        <v>21</v>
      </c>
      <c r="G6" s="403" t="s">
        <v>432</v>
      </c>
      <c r="H6" s="2"/>
    </row>
    <row r="7" spans="2:11" ht="15.45" x14ac:dyDescent="0.4">
      <c r="C7" s="407" t="s">
        <v>156</v>
      </c>
      <c r="H7" s="2" t="s">
        <v>171</v>
      </c>
    </row>
    <row r="8" spans="2:11" ht="15.45" x14ac:dyDescent="0.4">
      <c r="B8" s="403">
        <v>1</v>
      </c>
      <c r="C8" s="2" t="s">
        <v>433</v>
      </c>
      <c r="D8" s="61">
        <f>'4.Conventional AI BreedingCost'!D9*0.01</f>
        <v>0.88</v>
      </c>
      <c r="E8" s="413">
        <f>'4.Conventional AI BreedingCost'!D17</f>
        <v>52.800000000000004</v>
      </c>
      <c r="F8" s="7">
        <f>'4.Conventional AI BreedingCost'!F17</f>
        <v>31.68</v>
      </c>
      <c r="G8" s="61">
        <f>IF(E8=0,0,(E8/(E8+F8)))</f>
        <v>0.625</v>
      </c>
      <c r="H8" s="7">
        <f>E8+F8</f>
        <v>84.48</v>
      </c>
    </row>
    <row r="9" spans="2:11" ht="15.45" x14ac:dyDescent="0.4">
      <c r="B9" s="403">
        <v>2</v>
      </c>
      <c r="C9" s="2" t="s">
        <v>434</v>
      </c>
      <c r="D9" s="61">
        <f>'4.Conventional AI BreedingCost'!D55*0.01</f>
        <v>0.88</v>
      </c>
      <c r="E9" s="7">
        <f>'4.Conventional AI BreedingCost'!D63</f>
        <v>52.800000000000004</v>
      </c>
      <c r="F9" s="7">
        <f>'4.Conventional AI BreedingCost'!F63</f>
        <v>31.68</v>
      </c>
      <c r="G9" s="61">
        <f>IF(E9=0,0,(E9/(E9+F9)))</f>
        <v>0.625</v>
      </c>
      <c r="H9" s="7">
        <f>E9+F9</f>
        <v>84.48</v>
      </c>
    </row>
    <row r="10" spans="2:11" ht="15.45" x14ac:dyDescent="0.4">
      <c r="B10" s="403"/>
      <c r="C10" s="2"/>
      <c r="D10" s="2"/>
      <c r="E10" s="2"/>
      <c r="F10" s="2"/>
      <c r="G10" s="2"/>
      <c r="H10" s="2"/>
    </row>
    <row r="11" spans="2:11" ht="15.45" x14ac:dyDescent="0.4">
      <c r="B11" s="403"/>
      <c r="C11" s="2"/>
      <c r="D11" s="2"/>
      <c r="E11" s="2"/>
      <c r="F11" s="2"/>
      <c r="G11" s="2"/>
      <c r="H11" s="2"/>
    </row>
    <row r="12" spans="2:11" ht="15.45" x14ac:dyDescent="0.4">
      <c r="B12" s="403">
        <v>3</v>
      </c>
      <c r="C12" s="3" t="s">
        <v>425</v>
      </c>
      <c r="D12" s="114">
        <f>'7. Natural Service Cost'!D8</f>
        <v>0.85</v>
      </c>
      <c r="E12" s="2"/>
      <c r="F12" s="7">
        <f>'7. Natural Service Cost'!D12</f>
        <v>0</v>
      </c>
      <c r="G12" s="408">
        <f t="shared" ref="G12" si="0">IF(E12=0,0,(E12/(E12+F12)))</f>
        <v>0</v>
      </c>
      <c r="H12" s="7">
        <f>E12+F12</f>
        <v>0</v>
      </c>
    </row>
    <row r="13" spans="2:11" ht="15" x14ac:dyDescent="0.35">
      <c r="C13" s="2" t="s">
        <v>468</v>
      </c>
      <c r="D13" s="2"/>
      <c r="E13" s="2"/>
      <c r="F13" s="2"/>
      <c r="G13" s="2"/>
      <c r="H13" s="2"/>
      <c r="I13" s="2"/>
      <c r="J13" s="2"/>
    </row>
    <row r="14" spans="2:11" ht="15" x14ac:dyDescent="0.35">
      <c r="D14" s="2"/>
      <c r="E14" s="2"/>
      <c r="F14" s="2"/>
      <c r="G14" s="2"/>
      <c r="H14" s="2"/>
      <c r="I14" s="2"/>
      <c r="J14" s="2"/>
    </row>
    <row r="15" spans="2:11" ht="15.45" x14ac:dyDescent="0.4">
      <c r="C15" s="491" t="s">
        <v>435</v>
      </c>
      <c r="D15" s="492"/>
      <c r="E15" s="492"/>
      <c r="F15" s="492"/>
      <c r="G15" s="463"/>
      <c r="H15" s="463"/>
      <c r="I15" s="2"/>
      <c r="J15" s="2"/>
    </row>
    <row r="16" spans="2:11" ht="15.45" x14ac:dyDescent="0.4">
      <c r="C16" s="21"/>
      <c r="D16" s="3" t="s">
        <v>436</v>
      </c>
      <c r="E16" s="3"/>
      <c r="F16" s="3"/>
      <c r="G16" s="2"/>
      <c r="H16" s="3" t="s">
        <v>437</v>
      </c>
      <c r="I16" s="3"/>
      <c r="J16" s="3"/>
    </row>
    <row r="17" spans="2:10" ht="15" x14ac:dyDescent="0.35">
      <c r="C17" s="21"/>
      <c r="D17" s="56" t="s">
        <v>438</v>
      </c>
      <c r="E17" s="56" t="s">
        <v>393</v>
      </c>
      <c r="F17" s="56" t="s">
        <v>80</v>
      </c>
      <c r="G17" s="56"/>
      <c r="H17" s="56" t="s">
        <v>438</v>
      </c>
      <c r="I17" s="56" t="s">
        <v>393</v>
      </c>
      <c r="J17" s="56" t="s">
        <v>80</v>
      </c>
    </row>
    <row r="18" spans="2:10" ht="15.45" x14ac:dyDescent="0.4">
      <c r="C18" s="403" t="s">
        <v>431</v>
      </c>
      <c r="D18" s="56" t="s">
        <v>305</v>
      </c>
      <c r="E18" s="56" t="s">
        <v>439</v>
      </c>
      <c r="F18" s="410" t="s">
        <v>440</v>
      </c>
      <c r="G18" s="56"/>
      <c r="H18" s="56" t="s">
        <v>305</v>
      </c>
      <c r="I18" s="56" t="s">
        <v>439</v>
      </c>
      <c r="J18" s="410" t="s">
        <v>440</v>
      </c>
    </row>
    <row r="19" spans="2:10" ht="15.45" x14ac:dyDescent="0.4">
      <c r="C19" s="380">
        <f>C6</f>
        <v>96</v>
      </c>
      <c r="D19" s="56" t="s">
        <v>1</v>
      </c>
      <c r="E19" s="56" t="s">
        <v>1</v>
      </c>
      <c r="F19" s="56" t="s">
        <v>1</v>
      </c>
      <c r="G19" s="56"/>
      <c r="H19" s="56" t="s">
        <v>1</v>
      </c>
      <c r="I19" s="56" t="s">
        <v>1</v>
      </c>
      <c r="J19" s="56" t="s">
        <v>1</v>
      </c>
    </row>
    <row r="20" spans="2:10" ht="15.45" x14ac:dyDescent="0.4">
      <c r="C20" s="3" t="str">
        <f>C7</f>
        <v>Conventional AI</v>
      </c>
      <c r="E20" s="2"/>
      <c r="F20" s="2"/>
      <c r="G20" s="2"/>
      <c r="H20" s="2"/>
      <c r="I20" s="2"/>
      <c r="J20" s="2"/>
    </row>
    <row r="21" spans="2:10" ht="15.45" x14ac:dyDescent="0.4">
      <c r="B21" s="403">
        <v>1</v>
      </c>
      <c r="C21" s="2" t="s">
        <v>433</v>
      </c>
      <c r="D21" s="10">
        <f>'4.Conventional AI BreedingCost'!F38</f>
        <v>65.625</v>
      </c>
      <c r="E21" s="10">
        <f>'4.Conventional AI BreedingCost'!F41</f>
        <v>33.166666666666671</v>
      </c>
      <c r="F21" s="10">
        <f>D21+E21</f>
        <v>98.791666666666671</v>
      </c>
      <c r="G21" s="67"/>
      <c r="H21" s="10">
        <f>'4.Conventional AI BreedingCost'!H38/'4.Conventional AI BreedingCost'!D46</f>
        <v>74.573863636363626</v>
      </c>
      <c r="I21" s="10">
        <f>J21-H21</f>
        <v>37.689393939393938</v>
      </c>
      <c r="J21" s="67">
        <f>'4.Conventional AI BreedingCost'!G46</f>
        <v>112.26325757575756</v>
      </c>
    </row>
    <row r="22" spans="2:10" ht="15.45" x14ac:dyDescent="0.4">
      <c r="B22" s="403">
        <v>2</v>
      </c>
      <c r="C22" s="2" t="s">
        <v>434</v>
      </c>
      <c r="D22" s="10">
        <f>'4.Conventional AI BreedingCost'!F83</f>
        <v>58</v>
      </c>
      <c r="E22" s="10">
        <f>'4.Conventional AI BreedingCost'!F86</f>
        <v>33.166666666666671</v>
      </c>
      <c r="F22" s="10">
        <f>D22+E22</f>
        <v>91.166666666666671</v>
      </c>
      <c r="G22" s="2"/>
      <c r="H22" s="10">
        <f>'4.Conventional AI BreedingCost'!H83/'4.Conventional AI BreedingCost'!D91</f>
        <v>65.909090909090907</v>
      </c>
      <c r="I22" s="10">
        <f>J22-H22</f>
        <v>37.689393939393938</v>
      </c>
      <c r="J22" s="67">
        <f>'4.Conventional AI BreedingCost'!G91</f>
        <v>103.59848484848484</v>
      </c>
    </row>
    <row r="23" spans="2:10" ht="15.45" x14ac:dyDescent="0.4">
      <c r="B23" s="403"/>
      <c r="C23" s="2"/>
      <c r="D23" s="2"/>
      <c r="E23" s="2"/>
      <c r="F23" s="2"/>
      <c r="G23" s="2"/>
      <c r="H23" s="2"/>
      <c r="I23" s="2"/>
      <c r="J23" s="2"/>
    </row>
    <row r="24" spans="2:10" ht="15.45" x14ac:dyDescent="0.4">
      <c r="B24" s="403">
        <v>5</v>
      </c>
      <c r="C24" s="3" t="s">
        <v>425</v>
      </c>
      <c r="D24" s="10">
        <f>'7. Natural Service Cost'!F24</f>
        <v>0</v>
      </c>
      <c r="E24" s="10">
        <f>'7. Natural Service Cost'!F26</f>
        <v>0</v>
      </c>
      <c r="F24" s="10">
        <f>D24+E24</f>
        <v>0</v>
      </c>
      <c r="G24" s="2"/>
      <c r="H24" s="411"/>
      <c r="I24" s="411"/>
      <c r="J24" s="67">
        <f>'7. Natural Service Cost'!F30</f>
        <v>0</v>
      </c>
    </row>
    <row r="25" spans="2:10" ht="15" x14ac:dyDescent="0.35">
      <c r="C25" s="21" t="s">
        <v>369</v>
      </c>
      <c r="D25" s="2"/>
      <c r="E25" s="2"/>
      <c r="F25" s="2"/>
      <c r="G25" s="2"/>
      <c r="H25" s="2"/>
      <c r="I25" s="2"/>
      <c r="J25" s="2"/>
    </row>
    <row r="26" spans="2:10" ht="15" x14ac:dyDescent="0.35">
      <c r="B26" s="21" t="s">
        <v>469</v>
      </c>
      <c r="C26" s="2" t="s">
        <v>468</v>
      </c>
      <c r="D26" s="2"/>
      <c r="E26" s="2"/>
      <c r="F26" s="2"/>
      <c r="G26" s="2"/>
      <c r="H26" s="2"/>
      <c r="I26" s="2"/>
      <c r="J26" s="2"/>
    </row>
    <row r="27" spans="2:10" ht="15.45" x14ac:dyDescent="0.4">
      <c r="C27" s="491" t="s">
        <v>441</v>
      </c>
      <c r="D27" s="492"/>
      <c r="E27" s="492"/>
      <c r="F27" s="492"/>
      <c r="G27" s="463"/>
      <c r="H27" s="463"/>
      <c r="I27" s="463"/>
      <c r="J27" s="2"/>
    </row>
    <row r="28" spans="2:10" ht="15" x14ac:dyDescent="0.35">
      <c r="D28" s="493" t="s">
        <v>442</v>
      </c>
      <c r="E28" s="457"/>
      <c r="F28" s="56" t="s">
        <v>443</v>
      </c>
      <c r="G28" s="2"/>
      <c r="H28" s="2"/>
      <c r="I28" s="2"/>
      <c r="J28" s="2"/>
    </row>
    <row r="29" spans="2:10" ht="15.45" x14ac:dyDescent="0.4">
      <c r="C29" s="403" t="s">
        <v>431</v>
      </c>
      <c r="D29" s="56" t="s">
        <v>444</v>
      </c>
      <c r="E29" s="56" t="s">
        <v>444</v>
      </c>
      <c r="F29" s="56" t="s">
        <v>395</v>
      </c>
      <c r="G29" s="2"/>
      <c r="H29" s="456" t="s">
        <v>215</v>
      </c>
      <c r="I29" s="465"/>
      <c r="J29" s="2"/>
    </row>
    <row r="30" spans="2:10" ht="15.45" x14ac:dyDescent="0.4">
      <c r="C30" s="380">
        <f>C6</f>
        <v>96</v>
      </c>
      <c r="D30" s="56" t="s">
        <v>21</v>
      </c>
      <c r="E30" s="56" t="s">
        <v>21</v>
      </c>
      <c r="F30" s="56" t="s">
        <v>21</v>
      </c>
      <c r="G30" s="2"/>
      <c r="H30" s="456" t="s">
        <v>445</v>
      </c>
      <c r="I30" s="465"/>
      <c r="J30" s="2"/>
    </row>
    <row r="31" spans="2:10" ht="15.45" x14ac:dyDescent="0.4">
      <c r="C31" s="3" t="str">
        <f>C20</f>
        <v>Conventional AI</v>
      </c>
      <c r="D31" s="56" t="s">
        <v>446</v>
      </c>
      <c r="E31" s="56" t="s">
        <v>447</v>
      </c>
      <c r="F31" s="2" t="s">
        <v>448</v>
      </c>
      <c r="G31" s="403" t="s">
        <v>432</v>
      </c>
      <c r="H31" s="56" t="s">
        <v>1</v>
      </c>
      <c r="I31" s="403" t="s">
        <v>80</v>
      </c>
    </row>
    <row r="32" spans="2:10" ht="15.45" x14ac:dyDescent="0.4">
      <c r="B32" s="403">
        <v>1</v>
      </c>
      <c r="C32" s="2" t="s">
        <v>433</v>
      </c>
      <c r="D32" s="7">
        <f>'4.Conventional AI BreedingCost'!D15</f>
        <v>26.400000000000002</v>
      </c>
      <c r="E32" s="7">
        <f>'4.Conventional AI BreedingCost'!D16</f>
        <v>26.400000000000002</v>
      </c>
      <c r="F32" s="7">
        <f>D32+E32</f>
        <v>52.800000000000004</v>
      </c>
      <c r="G32" s="216">
        <f>F32/$C$30</f>
        <v>0.55000000000000004</v>
      </c>
      <c r="H32" s="16">
        <f>'2.WeanedCalf to Sell Bred Heif '!E24</f>
        <v>1600</v>
      </c>
      <c r="I32" s="16">
        <f>F32*H32</f>
        <v>84480</v>
      </c>
      <c r="J32" s="2"/>
    </row>
    <row r="33" spans="2:11" ht="15.45" x14ac:dyDescent="0.4">
      <c r="B33" s="403"/>
      <c r="C33" s="2" t="s">
        <v>459</v>
      </c>
      <c r="D33" s="7">
        <f>'4.Conventional AI BreedingCost'!F15</f>
        <v>15.84</v>
      </c>
      <c r="E33" s="7">
        <f>'4.Conventional AI BreedingCost'!F16</f>
        <v>15.84</v>
      </c>
      <c r="F33" s="7">
        <f>D33+E33</f>
        <v>31.68</v>
      </c>
      <c r="G33" s="216"/>
      <c r="H33" s="16">
        <f>'2.WeanedCalf to Sell Bred Heif '!E23</f>
        <v>1450</v>
      </c>
      <c r="I33" s="16">
        <f>F33*H33</f>
        <v>45936</v>
      </c>
      <c r="J33" s="406" t="s">
        <v>465</v>
      </c>
    </row>
    <row r="34" spans="2:11" ht="15.45" x14ac:dyDescent="0.4">
      <c r="B34" s="403"/>
      <c r="C34" s="2"/>
      <c r="D34" s="409"/>
      <c r="E34" s="409"/>
      <c r="F34" s="37">
        <f>F32+F33</f>
        <v>84.48</v>
      </c>
      <c r="G34" s="216"/>
      <c r="H34" s="16"/>
      <c r="I34" s="16">
        <f>I32+I33</f>
        <v>130416</v>
      </c>
      <c r="J34" s="406" t="s">
        <v>466</v>
      </c>
    </row>
    <row r="35" spans="2:11" ht="15.45" x14ac:dyDescent="0.4">
      <c r="B35" s="403"/>
      <c r="C35" s="2"/>
      <c r="D35" s="409"/>
      <c r="E35" s="409"/>
      <c r="F35" s="7"/>
      <c r="G35" s="216"/>
      <c r="H35" s="16"/>
      <c r="I35" s="16"/>
      <c r="J35" s="2"/>
    </row>
    <row r="36" spans="2:11" ht="15.45" x14ac:dyDescent="0.4">
      <c r="B36" s="403">
        <v>2</v>
      </c>
      <c r="C36" s="2" t="s">
        <v>434</v>
      </c>
      <c r="D36" s="7">
        <f>'4.Conventional AI BreedingCost'!D61</f>
        <v>26.400000000000002</v>
      </c>
      <c r="E36" s="7">
        <f>'4.Conventional AI BreedingCost'!D62</f>
        <v>26.400000000000002</v>
      </c>
      <c r="F36" s="7">
        <f>D36+E36</f>
        <v>52.800000000000004</v>
      </c>
      <c r="G36" s="216">
        <f>F36/$C$30</f>
        <v>0.55000000000000004</v>
      </c>
      <c r="H36" s="16">
        <f>H32</f>
        <v>1600</v>
      </c>
      <c r="I36" s="16">
        <f>F36*H36</f>
        <v>84480</v>
      </c>
      <c r="J36" s="2"/>
    </row>
    <row r="37" spans="2:11" ht="15.45" x14ac:dyDescent="0.4">
      <c r="B37" s="403"/>
      <c r="C37" s="2"/>
      <c r="D37" s="7">
        <f>'4.Conventional AI BreedingCost'!F61</f>
        <v>15.84</v>
      </c>
      <c r="E37" s="7">
        <f>'4.Conventional AI BreedingCost'!F62</f>
        <v>15.84</v>
      </c>
      <c r="F37" s="7">
        <f>D37+E37</f>
        <v>31.68</v>
      </c>
      <c r="G37" s="216"/>
      <c r="H37" s="16">
        <f>H33</f>
        <v>1450</v>
      </c>
      <c r="I37" s="16">
        <f>F37*H37</f>
        <v>45936</v>
      </c>
      <c r="J37" s="2"/>
    </row>
    <row r="38" spans="2:11" ht="15.45" x14ac:dyDescent="0.4">
      <c r="B38" s="403"/>
      <c r="C38" s="2"/>
      <c r="D38" s="409"/>
      <c r="E38" s="409"/>
      <c r="F38" s="37">
        <f>F36+F37</f>
        <v>84.48</v>
      </c>
      <c r="G38" s="216"/>
      <c r="H38" s="16"/>
      <c r="I38" s="16">
        <f>I36+I37</f>
        <v>130416</v>
      </c>
      <c r="J38" s="12">
        <f>I38-I34</f>
        <v>0</v>
      </c>
    </row>
    <row r="39" spans="2:11" ht="15.45" x14ac:dyDescent="0.4">
      <c r="B39" s="403"/>
      <c r="C39" s="2"/>
      <c r="I39" s="1"/>
      <c r="J39" s="2"/>
    </row>
    <row r="40" spans="2:11" ht="15.45" x14ac:dyDescent="0.4">
      <c r="B40" s="403">
        <v>3</v>
      </c>
      <c r="C40" s="3" t="s">
        <v>425</v>
      </c>
      <c r="D40" s="7">
        <f>'7. Natural Service Cost'!D10</f>
        <v>0</v>
      </c>
      <c r="E40" s="7">
        <f>'7. Natural Service Cost'!D11</f>
        <v>0</v>
      </c>
      <c r="F40" s="7">
        <f>D40+E40</f>
        <v>0</v>
      </c>
      <c r="G40" s="412"/>
      <c r="H40" s="12">
        <f>'2.WeanedCalf to Sell Bred Heif '!E23</f>
        <v>1450</v>
      </c>
      <c r="I40" s="16">
        <f>F40*H40</f>
        <v>0</v>
      </c>
      <c r="J40" s="12">
        <f>I34-I40</f>
        <v>130416</v>
      </c>
    </row>
    <row r="41" spans="2:11" ht="15" x14ac:dyDescent="0.35">
      <c r="B41" s="21" t="s">
        <v>469</v>
      </c>
      <c r="C41" s="2" t="s">
        <v>468</v>
      </c>
    </row>
    <row r="43" spans="2:11" ht="15.45" x14ac:dyDescent="0.4">
      <c r="C43" s="491" t="s">
        <v>449</v>
      </c>
      <c r="D43" s="492"/>
      <c r="E43" s="492"/>
      <c r="F43" s="492"/>
      <c r="G43" s="463"/>
      <c r="H43" s="463"/>
      <c r="I43" s="463"/>
      <c r="J43" s="463"/>
    </row>
    <row r="45" spans="2:11" ht="15.45" x14ac:dyDescent="0.4">
      <c r="E45" s="404"/>
      <c r="F45" s="404"/>
      <c r="G45" s="456" t="s">
        <v>171</v>
      </c>
      <c r="H45" s="457"/>
      <c r="I45" s="56" t="s">
        <v>80</v>
      </c>
      <c r="J45" s="403" t="s">
        <v>450</v>
      </c>
    </row>
    <row r="46" spans="2:11" ht="15.45" x14ac:dyDescent="0.4">
      <c r="C46" s="403" t="s">
        <v>431</v>
      </c>
      <c r="E46" s="403" t="s">
        <v>451</v>
      </c>
      <c r="F46" s="404"/>
      <c r="G46" s="56" t="s">
        <v>452</v>
      </c>
      <c r="H46" s="56" t="s">
        <v>453</v>
      </c>
      <c r="I46" s="56" t="s">
        <v>454</v>
      </c>
      <c r="J46" s="403" t="s">
        <v>454</v>
      </c>
      <c r="K46" s="406" t="s">
        <v>465</v>
      </c>
    </row>
    <row r="47" spans="2:11" ht="15.45" x14ac:dyDescent="0.4">
      <c r="C47" s="380">
        <f>C30</f>
        <v>96</v>
      </c>
      <c r="E47" s="56" t="s">
        <v>51</v>
      </c>
      <c r="F47" s="404"/>
      <c r="G47" s="56" t="s">
        <v>455</v>
      </c>
      <c r="H47" s="56" t="s">
        <v>456</v>
      </c>
      <c r="I47" s="56" t="s">
        <v>457</v>
      </c>
      <c r="J47" s="403" t="s">
        <v>305</v>
      </c>
      <c r="K47" s="406" t="s">
        <v>466</v>
      </c>
    </row>
    <row r="48" spans="2:11" ht="15.45" x14ac:dyDescent="0.4">
      <c r="C48" s="3" t="str">
        <f>C31</f>
        <v>Conventional AI</v>
      </c>
      <c r="D48" s="3" t="s">
        <v>464</v>
      </c>
      <c r="J48" s="406" t="s">
        <v>466</v>
      </c>
    </row>
    <row r="49" spans="2:11" ht="15.45" x14ac:dyDescent="0.4">
      <c r="B49" s="403">
        <v>1</v>
      </c>
      <c r="C49" s="2" t="s">
        <v>433</v>
      </c>
      <c r="D49" s="7">
        <f>'2.WeanedCalf to Sell Bred Heif '!N35</f>
        <v>11.519999999999996</v>
      </c>
      <c r="E49" s="12">
        <f>('2.WeanedCalf to Sell Bred Heif '!$F$34+'2.WeanedCalf to Sell Bred Heif '!E22*'9.Breeding System Summary'!D49)</f>
        <v>13097.999999999996</v>
      </c>
      <c r="G49" s="12">
        <f>I34</f>
        <v>130416</v>
      </c>
      <c r="H49" s="16">
        <f>E49+G49</f>
        <v>143514</v>
      </c>
      <c r="I49" s="24">
        <f>F21*C47</f>
        <v>9484</v>
      </c>
      <c r="J49" s="16">
        <f>H49-I49</f>
        <v>134030</v>
      </c>
    </row>
    <row r="50" spans="2:11" ht="15.45" x14ac:dyDescent="0.4">
      <c r="B50" s="403">
        <v>2</v>
      </c>
      <c r="C50" s="2" t="s">
        <v>434</v>
      </c>
      <c r="D50" s="7">
        <f>'2.WeanedCalf to Sell Bred Heif '!N36</f>
        <v>11.519999999999996</v>
      </c>
      <c r="E50" s="12">
        <f>('2.WeanedCalf to Sell Bred Heif '!$F$34+'2.WeanedCalf to Sell Bred Heif '!$E$22*'9.Breeding System Summary'!D50)</f>
        <v>13097.999999999996</v>
      </c>
      <c r="G50" s="12">
        <f>I38</f>
        <v>130416</v>
      </c>
      <c r="H50" s="16">
        <f>E50+G50</f>
        <v>143514</v>
      </c>
      <c r="I50" s="24">
        <f>F22*C47</f>
        <v>8752</v>
      </c>
      <c r="J50" s="16">
        <f>H50-I50</f>
        <v>134762</v>
      </c>
      <c r="K50" s="16">
        <f>J49-J50</f>
        <v>-732</v>
      </c>
    </row>
    <row r="51" spans="2:11" ht="15.45" x14ac:dyDescent="0.4">
      <c r="C51" s="2"/>
      <c r="D51" s="2"/>
      <c r="E51" s="21"/>
      <c r="G51" s="2"/>
      <c r="K51" s="3"/>
    </row>
    <row r="52" spans="2:11" ht="15.45" x14ac:dyDescent="0.4">
      <c r="B52" s="403">
        <v>3</v>
      </c>
      <c r="C52" s="3" t="s">
        <v>425</v>
      </c>
      <c r="D52" s="7">
        <f>'2.WeanedCalf to Sell Bred Heif '!N38</f>
        <v>96</v>
      </c>
      <c r="E52" s="12">
        <f>('2.WeanedCalf to Sell Bred Heif '!$F$34+'2.WeanedCalf to Sell Bred Heif '!$E$22*'9.Breeding System Summary'!D52)</f>
        <v>89130</v>
      </c>
      <c r="G52" s="12">
        <f t="shared" ref="G52" si="1">I40</f>
        <v>0</v>
      </c>
      <c r="H52" s="16">
        <f>E52+G52</f>
        <v>89130</v>
      </c>
      <c r="I52" s="24">
        <f>F24*C47</f>
        <v>0</v>
      </c>
      <c r="J52" s="16">
        <f>H52-I52</f>
        <v>89130</v>
      </c>
      <c r="K52" s="16">
        <f>J52-J49</f>
        <v>-44900</v>
      </c>
    </row>
    <row r="53" spans="2:11" ht="15" x14ac:dyDescent="0.35">
      <c r="C53" s="21" t="s">
        <v>369</v>
      </c>
      <c r="D53" s="2"/>
    </row>
    <row r="54" spans="2:11" x14ac:dyDescent="0.3">
      <c r="B54" s="21" t="s">
        <v>467</v>
      </c>
    </row>
    <row r="55" spans="2:11" ht="15.45" x14ac:dyDescent="0.4">
      <c r="C55" s="456" t="s">
        <v>497</v>
      </c>
      <c r="D55" s="456"/>
      <c r="E55" s="456"/>
      <c r="F55" s="456"/>
      <c r="G55" s="456"/>
    </row>
    <row r="56" spans="2:11" ht="15.45" x14ac:dyDescent="0.4">
      <c r="C56" s="3" t="s">
        <v>498</v>
      </c>
    </row>
    <row r="57" spans="2:11" ht="15.45" x14ac:dyDescent="0.4">
      <c r="C57" s="60"/>
      <c r="E57" s="3" t="s">
        <v>303</v>
      </c>
      <c r="F57" s="3" t="s">
        <v>302</v>
      </c>
      <c r="H57" s="3" t="s">
        <v>171</v>
      </c>
    </row>
    <row r="58" spans="2:11" ht="15.45" x14ac:dyDescent="0.4">
      <c r="C58" s="5" t="s">
        <v>21</v>
      </c>
      <c r="D58" s="403" t="s">
        <v>288</v>
      </c>
      <c r="E58" s="433">
        <f>'6. Bull Cost'!G5</f>
        <v>2</v>
      </c>
      <c r="F58" s="37">
        <f>C6</f>
        <v>96</v>
      </c>
      <c r="H58" s="37">
        <f>F34</f>
        <v>84.48</v>
      </c>
    </row>
    <row r="59" spans="2:11" ht="15.45" x14ac:dyDescent="0.4">
      <c r="C59" s="2"/>
      <c r="D59" s="403" t="s">
        <v>305</v>
      </c>
      <c r="E59" s="3" t="s">
        <v>408</v>
      </c>
      <c r="F59" s="67" t="s">
        <v>301</v>
      </c>
      <c r="H59" s="3" t="s">
        <v>404</v>
      </c>
    </row>
    <row r="60" spans="2:11" ht="15.45" x14ac:dyDescent="0.4">
      <c r="C60" s="3" t="s">
        <v>54</v>
      </c>
      <c r="D60" s="25">
        <f>'8. Bull Investment &amp; Costs'!C12</f>
        <v>1613.875</v>
      </c>
      <c r="E60" s="25">
        <f>D60*E58</f>
        <v>3227.75</v>
      </c>
      <c r="F60" s="67">
        <f>E60/F58</f>
        <v>33.622395833333336</v>
      </c>
      <c r="H60" s="67">
        <f>E60/H58</f>
        <v>38.207267992424242</v>
      </c>
    </row>
    <row r="61" spans="2:11" ht="15.45" x14ac:dyDescent="0.4">
      <c r="D61" s="456" t="s">
        <v>338</v>
      </c>
      <c r="E61" s="456"/>
      <c r="F61" s="456"/>
      <c r="G61" s="456"/>
    </row>
    <row r="62" spans="2:11" ht="15.45" x14ac:dyDescent="0.4">
      <c r="C62" s="3" t="s">
        <v>458</v>
      </c>
      <c r="D62" s="25">
        <f>'8. Bull Investment &amp; Costs'!C15</f>
        <v>1890</v>
      </c>
      <c r="E62" s="16">
        <f>E58*D62</f>
        <v>3780</v>
      </c>
      <c r="F62" s="314">
        <f>IF(F58=0,0,E62/F58)</f>
        <v>39.375</v>
      </c>
      <c r="H62" s="314">
        <f>IF(H58=0,0,E62/H58)</f>
        <v>44.74431818181818</v>
      </c>
    </row>
    <row r="63" spans="2:11" ht="15.45" x14ac:dyDescent="0.4">
      <c r="C63" s="21" t="s">
        <v>409</v>
      </c>
      <c r="D63" s="76"/>
      <c r="E63" s="21"/>
      <c r="F63" s="3"/>
      <c r="G63" s="22"/>
    </row>
    <row r="64" spans="2:11" x14ac:dyDescent="0.3">
      <c r="C64" s="21" t="s">
        <v>413</v>
      </c>
    </row>
    <row r="65" spans="3:10" ht="15.45" x14ac:dyDescent="0.4">
      <c r="C65" s="3" t="s">
        <v>412</v>
      </c>
    </row>
    <row r="66" spans="3:10" ht="15.45" x14ac:dyDescent="0.4">
      <c r="C66" s="60"/>
      <c r="E66" s="3" t="s">
        <v>303</v>
      </c>
      <c r="F66" s="3" t="s">
        <v>302</v>
      </c>
      <c r="H66" s="3" t="s">
        <v>171</v>
      </c>
      <c r="J66" s="3" t="s">
        <v>501</v>
      </c>
    </row>
    <row r="67" spans="3:10" ht="15.45" x14ac:dyDescent="0.4">
      <c r="C67" s="5" t="s">
        <v>21</v>
      </c>
      <c r="D67" s="403" t="s">
        <v>288</v>
      </c>
      <c r="E67" s="300">
        <f>'7. Natural Service Cost'!E6</f>
        <v>5</v>
      </c>
      <c r="F67" s="37">
        <f>C6</f>
        <v>96</v>
      </c>
      <c r="H67" s="37">
        <f>'7. Natural Service Cost'!L4</f>
        <v>81.599999999999994</v>
      </c>
      <c r="J67" s="434">
        <f>C19/'6. Bull Cost'!F5</f>
        <v>4.8</v>
      </c>
    </row>
    <row r="68" spans="3:10" ht="15.45" x14ac:dyDescent="0.4">
      <c r="C68" s="2"/>
      <c r="D68" s="403" t="s">
        <v>305</v>
      </c>
      <c r="E68" s="3" t="s">
        <v>408</v>
      </c>
      <c r="F68" s="67" t="s">
        <v>301</v>
      </c>
      <c r="H68" s="3" t="s">
        <v>404</v>
      </c>
    </row>
    <row r="69" spans="3:10" ht="15.45" x14ac:dyDescent="0.4">
      <c r="C69" s="3" t="s">
        <v>101</v>
      </c>
      <c r="D69" s="25">
        <f>'8. Bull Investment &amp; Costs'!C27</f>
        <v>1613.875</v>
      </c>
      <c r="E69" s="25">
        <f>D69*E67</f>
        <v>8069.375</v>
      </c>
      <c r="F69" s="67">
        <f>E69/F67</f>
        <v>84.055989583333329</v>
      </c>
      <c r="H69" s="67">
        <f>E69/H67</f>
        <v>98.889399509803923</v>
      </c>
    </row>
    <row r="70" spans="3:10" ht="15.45" x14ac:dyDescent="0.4">
      <c r="D70" s="456" t="s">
        <v>338</v>
      </c>
      <c r="E70" s="456"/>
      <c r="F70" s="456"/>
      <c r="G70" s="456"/>
    </row>
    <row r="71" spans="3:10" ht="15.45" x14ac:dyDescent="0.4">
      <c r="C71" s="3" t="s">
        <v>458</v>
      </c>
      <c r="D71" s="25">
        <f>'8. Bull Investment &amp; Costs'!C30</f>
        <v>1890</v>
      </c>
      <c r="E71" s="16">
        <f>E67*D71</f>
        <v>9450</v>
      </c>
      <c r="F71" s="314">
        <f>IF(F67=0,0,E71/F67)</f>
        <v>98.4375</v>
      </c>
      <c r="H71" s="314">
        <f>IF(H67=0,0,E71/H67)</f>
        <v>115.80882352941177</v>
      </c>
    </row>
    <row r="72" spans="3:10" ht="15.45" x14ac:dyDescent="0.4">
      <c r="C72" s="21" t="s">
        <v>409</v>
      </c>
      <c r="D72" s="76"/>
      <c r="E72" s="21"/>
      <c r="F72" s="3"/>
      <c r="G72" s="22"/>
    </row>
  </sheetData>
  <sheetProtection sheet="1" objects="1" scenarios="1"/>
  <mergeCells count="12">
    <mergeCell ref="D70:G70"/>
    <mergeCell ref="C3:H3"/>
    <mergeCell ref="C15:H15"/>
    <mergeCell ref="C27:I27"/>
    <mergeCell ref="D28:E28"/>
    <mergeCell ref="H29:I29"/>
    <mergeCell ref="D61:G61"/>
    <mergeCell ref="C1:K1"/>
    <mergeCell ref="H30:I30"/>
    <mergeCell ref="C43:J43"/>
    <mergeCell ref="G45:H45"/>
    <mergeCell ref="C55:G55"/>
  </mergeCells>
  <pageMargins left="0.95" right="0.45" top="0.75" bottom="0.75" header="0.3" footer="0.3"/>
  <pageSetup scale="63" orientation="portrait" horizontalDpi="4294967295" verticalDpi="4294967295"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C5A51-A035-46F7-A911-D51DF7701D96}">
  <sheetPr>
    <pageSetUpPr fitToPage="1"/>
  </sheetPr>
  <dimension ref="B2:F41"/>
  <sheetViews>
    <sheetView topLeftCell="A5" workbookViewId="0">
      <selection activeCell="D22" sqref="D22"/>
    </sheetView>
  </sheetViews>
  <sheetFormatPr defaultRowHeight="12.45" x14ac:dyDescent="0.3"/>
  <cols>
    <col min="1" max="1" width="4.23046875" customWidth="1"/>
    <col min="2" max="2" width="32.69140625" customWidth="1"/>
    <col min="3" max="3" width="14" customWidth="1"/>
    <col min="4" max="4" width="17.765625" customWidth="1"/>
    <col min="5" max="5" width="19.69140625" customWidth="1"/>
    <col min="6" max="6" width="16.23046875" customWidth="1"/>
  </cols>
  <sheetData>
    <row r="2" spans="2:6" ht="17.600000000000001" x14ac:dyDescent="0.4">
      <c r="B2" s="472" t="s">
        <v>492</v>
      </c>
      <c r="C2" s="465"/>
      <c r="D2" s="465"/>
      <c r="E2" s="465"/>
      <c r="F2" s="465"/>
    </row>
    <row r="5" spans="2:6" ht="15.45" x14ac:dyDescent="0.4">
      <c r="B5" s="3" t="s">
        <v>411</v>
      </c>
    </row>
    <row r="6" spans="2:6" ht="15.45" x14ac:dyDescent="0.4">
      <c r="B6" s="180"/>
      <c r="D6" s="3" t="s">
        <v>303</v>
      </c>
      <c r="E6" s="3" t="s">
        <v>302</v>
      </c>
      <c r="F6" s="3" t="s">
        <v>171</v>
      </c>
    </row>
    <row r="7" spans="2:6" ht="15.45" x14ac:dyDescent="0.4">
      <c r="B7" s="5" t="s">
        <v>21</v>
      </c>
      <c r="C7" s="397" t="s">
        <v>288</v>
      </c>
      <c r="D7" s="3">
        <f>'5. Conventional AI Summary'!D62</f>
        <v>2</v>
      </c>
      <c r="E7" s="3">
        <f>'5. Conventional AI Summary'!E62</f>
        <v>96</v>
      </c>
      <c r="F7" s="37">
        <f>'5. Conventional AI Summary'!F62</f>
        <v>84.48</v>
      </c>
    </row>
    <row r="8" spans="2:6" ht="15.45" x14ac:dyDescent="0.4">
      <c r="B8" s="2"/>
      <c r="C8" s="397" t="s">
        <v>305</v>
      </c>
      <c r="D8" s="3" t="s">
        <v>408</v>
      </c>
      <c r="E8" s="67" t="s">
        <v>301</v>
      </c>
      <c r="F8" s="3" t="s">
        <v>404</v>
      </c>
    </row>
    <row r="9" spans="2:6" ht="15" x14ac:dyDescent="0.35">
      <c r="B9" s="22" t="s">
        <v>405</v>
      </c>
      <c r="C9" s="24">
        <f>'5. Conventional AI Summary'!C64</f>
        <v>1497.5</v>
      </c>
      <c r="D9" s="24">
        <f>'5. Conventional AI Summary'!D64</f>
        <v>2995</v>
      </c>
      <c r="E9" s="10">
        <f>'5. Conventional AI Summary'!E64</f>
        <v>31.197916666666668</v>
      </c>
      <c r="F9" s="10">
        <f>'5. Conventional AI Summary'!F64</f>
        <v>35.452178030303031</v>
      </c>
    </row>
    <row r="10" spans="2:6" ht="15" x14ac:dyDescent="0.35">
      <c r="B10" s="178" t="s">
        <v>406</v>
      </c>
      <c r="C10" s="24">
        <f>'5. Conventional AI Summary'!C65</f>
        <v>21.875</v>
      </c>
      <c r="D10" s="24">
        <f>'5. Conventional AI Summary'!D65</f>
        <v>43.75</v>
      </c>
      <c r="E10" s="10">
        <f>'5. Conventional AI Summary'!E65</f>
        <v>0.45572916666666669</v>
      </c>
      <c r="F10" s="10">
        <f>'5. Conventional AI Summary'!F65</f>
        <v>0.51787405303030298</v>
      </c>
    </row>
    <row r="11" spans="2:6" ht="15" x14ac:dyDescent="0.35">
      <c r="B11" s="178" t="s">
        <v>407</v>
      </c>
      <c r="C11" s="24">
        <f>'5. Conventional AI Summary'!C66</f>
        <v>94.5</v>
      </c>
      <c r="D11" s="24">
        <f>'5. Conventional AI Summary'!D66</f>
        <v>189</v>
      </c>
      <c r="E11" s="10">
        <f>'5. Conventional AI Summary'!E66</f>
        <v>1.96875</v>
      </c>
      <c r="F11" s="10">
        <f>'5. Conventional AI Summary'!F66</f>
        <v>2.2372159090909092</v>
      </c>
    </row>
    <row r="12" spans="2:6" ht="15.45" x14ac:dyDescent="0.4">
      <c r="B12" s="3" t="s">
        <v>101</v>
      </c>
      <c r="C12" s="25">
        <f>SUM(C9:C11)</f>
        <v>1613.875</v>
      </c>
      <c r="D12" s="25">
        <f>SUM(D9:D11)</f>
        <v>3227.75</v>
      </c>
      <c r="E12" s="67">
        <f>SUM(E9:E11)</f>
        <v>33.622395833333336</v>
      </c>
      <c r="F12" s="67">
        <f>SUM(F9:F11)</f>
        <v>38.207267992424242</v>
      </c>
    </row>
    <row r="13" spans="2:6" ht="15.45" x14ac:dyDescent="0.4">
      <c r="B13" s="3"/>
      <c r="C13" s="25"/>
      <c r="D13" s="25"/>
      <c r="E13" s="67"/>
      <c r="F13" s="67"/>
    </row>
    <row r="14" spans="2:6" ht="15.45" x14ac:dyDescent="0.4">
      <c r="C14" s="456" t="s">
        <v>338</v>
      </c>
      <c r="D14" s="456"/>
      <c r="E14" s="456"/>
      <c r="F14" s="456"/>
    </row>
    <row r="15" spans="2:6" ht="15.45" x14ac:dyDescent="0.4">
      <c r="B15" s="3" t="s">
        <v>410</v>
      </c>
      <c r="C15" s="16">
        <f>'5. Conventional AI Summary'!C69</f>
        <v>1890</v>
      </c>
      <c r="D15" s="16">
        <f>D7*C15</f>
        <v>3780</v>
      </c>
      <c r="E15" s="314">
        <f>IF(E7=0,0,D15/E7)</f>
        <v>39.375</v>
      </c>
      <c r="F15" s="314">
        <f>IF(F7=0,0,D15/F7)</f>
        <v>44.74431818181818</v>
      </c>
    </row>
    <row r="16" spans="2:6" ht="15.45" x14ac:dyDescent="0.4">
      <c r="B16" s="21" t="s">
        <v>409</v>
      </c>
      <c r="C16" s="76"/>
      <c r="D16" s="21"/>
      <c r="E16" s="3"/>
      <c r="F16" s="22"/>
    </row>
    <row r="18" spans="2:6" x14ac:dyDescent="0.3">
      <c r="B18" s="21" t="s">
        <v>413</v>
      </c>
    </row>
    <row r="20" spans="2:6" ht="15.45" x14ac:dyDescent="0.4">
      <c r="B20" s="3" t="s">
        <v>412</v>
      </c>
    </row>
    <row r="21" spans="2:6" ht="15.45" x14ac:dyDescent="0.4">
      <c r="B21" s="180"/>
      <c r="D21" s="3" t="s">
        <v>303</v>
      </c>
      <c r="E21" s="3" t="s">
        <v>302</v>
      </c>
      <c r="F21" s="3" t="s">
        <v>171</v>
      </c>
    </row>
    <row r="22" spans="2:6" ht="15.45" x14ac:dyDescent="0.4">
      <c r="B22" s="5" t="s">
        <v>21</v>
      </c>
      <c r="C22" s="397" t="s">
        <v>288</v>
      </c>
      <c r="D22" s="3">
        <f>'7. Natural Service Cost'!D35</f>
        <v>5</v>
      </c>
      <c r="E22" s="3">
        <f>E7</f>
        <v>96</v>
      </c>
      <c r="F22" s="37">
        <f>F7</f>
        <v>84.48</v>
      </c>
    </row>
    <row r="23" spans="2:6" ht="15.45" x14ac:dyDescent="0.4">
      <c r="B23" s="2"/>
      <c r="C23" s="397" t="s">
        <v>305</v>
      </c>
      <c r="D23" s="3" t="s">
        <v>408</v>
      </c>
      <c r="E23" s="67" t="s">
        <v>301</v>
      </c>
      <c r="F23" s="3" t="s">
        <v>404</v>
      </c>
    </row>
    <row r="24" spans="2:6" ht="15" x14ac:dyDescent="0.35">
      <c r="B24" s="22" t="s">
        <v>405</v>
      </c>
      <c r="C24" s="24">
        <f>C9</f>
        <v>1497.5</v>
      </c>
      <c r="D24" s="24">
        <f>C24*$D$22</f>
        <v>7487.5</v>
      </c>
      <c r="E24" s="10">
        <f>IF($E$22=0,0,D24/$E$22)</f>
        <v>77.994791666666671</v>
      </c>
      <c r="F24" s="10">
        <f>D24/$F$22</f>
        <v>88.630445075757578</v>
      </c>
    </row>
    <row r="25" spans="2:6" ht="15" x14ac:dyDescent="0.35">
      <c r="B25" s="178" t="s">
        <v>406</v>
      </c>
      <c r="C25" s="24">
        <f t="shared" ref="C25:C27" si="0">C10</f>
        <v>21.875</v>
      </c>
      <c r="D25" s="24">
        <f t="shared" ref="D25:D27" si="1">C25*$D$22</f>
        <v>109.375</v>
      </c>
      <c r="E25" s="10">
        <f t="shared" ref="E25:E27" si="2">IF($E$22=0,0,D25/$E$22)</f>
        <v>1.1393229166666667</v>
      </c>
      <c r="F25" s="10">
        <f t="shared" ref="F25:F26" si="3">D25/$F$22</f>
        <v>1.2946851325757576</v>
      </c>
    </row>
    <row r="26" spans="2:6" ht="15" x14ac:dyDescent="0.35">
      <c r="B26" s="178" t="s">
        <v>407</v>
      </c>
      <c r="C26" s="24">
        <f t="shared" si="0"/>
        <v>94.5</v>
      </c>
      <c r="D26" s="24">
        <f t="shared" si="1"/>
        <v>472.5</v>
      </c>
      <c r="E26" s="10">
        <f t="shared" si="2"/>
        <v>4.921875</v>
      </c>
      <c r="F26" s="10">
        <f t="shared" si="3"/>
        <v>5.5930397727272725</v>
      </c>
    </row>
    <row r="27" spans="2:6" ht="15.45" x14ac:dyDescent="0.4">
      <c r="B27" s="3" t="s">
        <v>101</v>
      </c>
      <c r="C27" s="25">
        <f t="shared" si="0"/>
        <v>1613.875</v>
      </c>
      <c r="D27" s="25">
        <f t="shared" si="1"/>
        <v>8069.375</v>
      </c>
      <c r="E27" s="10">
        <f t="shared" si="2"/>
        <v>84.055989583333329</v>
      </c>
      <c r="F27" s="67">
        <f>SUM(F24:F26)</f>
        <v>95.518169981060595</v>
      </c>
    </row>
    <row r="29" spans="2:6" ht="15.45" x14ac:dyDescent="0.4">
      <c r="C29" s="456" t="s">
        <v>338</v>
      </c>
      <c r="D29" s="456"/>
      <c r="E29" s="456"/>
      <c r="F29" s="456"/>
    </row>
    <row r="30" spans="2:6" ht="15.45" x14ac:dyDescent="0.4">
      <c r="B30" s="3" t="s">
        <v>410</v>
      </c>
      <c r="C30" s="16">
        <f>C15</f>
        <v>1890</v>
      </c>
      <c r="D30" s="16">
        <f>D22*C30</f>
        <v>9450</v>
      </c>
      <c r="E30" s="314">
        <f>IF(E22=0,0,D30/E22)</f>
        <v>98.4375</v>
      </c>
      <c r="F30" s="314">
        <f>IF(F22=0,0,D30/F22)</f>
        <v>111.86079545454545</v>
      </c>
    </row>
    <row r="31" spans="2:6" ht="15.45" x14ac:dyDescent="0.4">
      <c r="B31" s="21" t="s">
        <v>409</v>
      </c>
      <c r="C31" s="76"/>
      <c r="D31" s="21"/>
      <c r="E31" s="3"/>
      <c r="F31" s="22"/>
    </row>
    <row r="33" spans="2:6" x14ac:dyDescent="0.3">
      <c r="B33" s="399" t="s">
        <v>414</v>
      </c>
    </row>
    <row r="34" spans="2:6" ht="15.45" x14ac:dyDescent="0.4">
      <c r="B34" s="3" t="s">
        <v>415</v>
      </c>
    </row>
    <row r="36" spans="2:6" ht="15.45" x14ac:dyDescent="0.4">
      <c r="B36" s="3" t="s">
        <v>318</v>
      </c>
      <c r="C36" s="2"/>
      <c r="D36" s="400"/>
      <c r="E36" s="400"/>
      <c r="F36" s="63">
        <f>'6. Bull Cost'!G26</f>
        <v>2500</v>
      </c>
    </row>
    <row r="37" spans="2:6" ht="15" x14ac:dyDescent="0.35">
      <c r="B37" s="2" t="s">
        <v>319</v>
      </c>
      <c r="C37" s="2"/>
      <c r="D37" s="400"/>
      <c r="E37" s="400"/>
      <c r="F37" s="400">
        <f>'6. Bull Cost'!G27</f>
        <v>2</v>
      </c>
    </row>
    <row r="38" spans="2:6" ht="15" x14ac:dyDescent="0.35">
      <c r="B38" s="2"/>
      <c r="C38" s="2"/>
      <c r="D38" s="355" t="s">
        <v>40</v>
      </c>
      <c r="E38" s="355" t="s">
        <v>41</v>
      </c>
      <c r="F38" s="355" t="s">
        <v>42</v>
      </c>
    </row>
    <row r="39" spans="2:6" ht="15" x14ac:dyDescent="0.35">
      <c r="B39" s="2" t="s">
        <v>43</v>
      </c>
      <c r="C39" s="2"/>
      <c r="D39" s="53">
        <f>'6. Bull Cost'!E29</f>
        <v>1600</v>
      </c>
      <c r="E39" s="164">
        <f>'6. Bull Cost'!F29</f>
        <v>80</v>
      </c>
      <c r="F39" s="20">
        <f>D39*E39*0.01</f>
        <v>1280</v>
      </c>
    </row>
    <row r="40" spans="2:6" ht="15" x14ac:dyDescent="0.35">
      <c r="B40" s="2" t="s">
        <v>416</v>
      </c>
    </row>
    <row r="41" spans="2:6" x14ac:dyDescent="0.3">
      <c r="B41" s="21" t="s">
        <v>409</v>
      </c>
      <c r="D41" s="250">
        <f>'6. Bull Cost'!E42</f>
        <v>1890</v>
      </c>
    </row>
  </sheetData>
  <sheetProtection sheet="1" objects="1" scenarios="1"/>
  <mergeCells count="3">
    <mergeCell ref="C14:F14"/>
    <mergeCell ref="C29:F29"/>
    <mergeCell ref="B2:F2"/>
  </mergeCells>
  <pageMargins left="0.95" right="0.45" top="0.75" bottom="0.75" header="0.3" footer="0.3"/>
  <pageSetup scale="92"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Dates&amp;Descripitions</vt:lpstr>
      <vt:lpstr>2.WeanedCalf to Sell Bred Heif </vt:lpstr>
      <vt:lpstr>3. Summary Report</vt:lpstr>
      <vt:lpstr>4.Conventional AI BreedingCost</vt:lpstr>
      <vt:lpstr>5. Conventional AI Summary</vt:lpstr>
      <vt:lpstr>6. Bull Cost</vt:lpstr>
      <vt:lpstr>7. Natural Service Cost</vt:lpstr>
      <vt:lpstr>9.Breeding System Summary</vt:lpstr>
      <vt:lpstr>8. Bull Investment &amp; Costs</vt:lpstr>
      <vt:lpstr>10. Cost Definitions</vt:lpstr>
      <vt:lpstr>'1. Dates&amp;Descripitions'!Print_Area</vt:lpstr>
      <vt:lpstr>'10. Cost Definitions'!Print_Area</vt:lpstr>
      <vt:lpstr>'2.WeanedCalf to Sell Bred Heif '!Print_Area</vt:lpstr>
      <vt:lpstr>'3. Summary Report'!Print_Area</vt:lpstr>
      <vt:lpstr>'4.Conventional AI BreedingCost'!Print_Area</vt:lpstr>
      <vt:lpstr>'5. Conventional AI Summary'!Print_Area</vt:lpstr>
      <vt:lpstr>'6. Bull Cost'!Print_Area</vt:lpstr>
      <vt:lpstr>'7. Natural Service Cost'!Print_Area</vt:lpstr>
      <vt:lpstr>'8. Bull Investment &amp; Costs'!Print_Area</vt:lpstr>
      <vt:lpstr>'9.Breeding System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McGrann</dc:creator>
  <cp:lastModifiedBy>Jim McGrann</cp:lastModifiedBy>
  <cp:lastPrinted>2020-05-20T09:38:15Z</cp:lastPrinted>
  <dcterms:created xsi:type="dcterms:W3CDTF">2004-03-18T15:16:20Z</dcterms:created>
  <dcterms:modified xsi:type="dcterms:W3CDTF">2020-05-21T18:43:09Z</dcterms:modified>
</cp:coreProperties>
</file>