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TAMU Additions 1-27-2020\T. Cattle Sales Record &amp; Price Calculations 1-24-2020\"/>
    </mc:Choice>
  </mc:AlternateContent>
  <xr:revisionPtr revIDLastSave="0" documentId="13_ncr:1_{C3954A84-A3F8-428B-B26A-1C793F088B6D}" xr6:coauthVersionLast="45" xr6:coauthVersionMax="45" xr10:uidLastSave="{00000000-0000-0000-0000-000000000000}"/>
  <bookViews>
    <workbookView xWindow="-103" yWindow="-103" windowWidth="16663" windowHeight="8863" tabRatio="1000" xr2:uid="{00000000-000D-0000-FFFF-FFFF00000000}"/>
  </bookViews>
  <sheets>
    <sheet name="1. Owned Pickup&amp;TrailerCost" sheetId="23" r:id="rId1"/>
    <sheet name="2. Contract Freight Cost" sheetId="24" r:id="rId2"/>
    <sheet name="3. Loan Payment Schedule" sheetId="25" r:id="rId3"/>
  </sheets>
  <definedNames>
    <definedName name="_xlnm.Print_Area" localSheetId="0">'1. Owned Pickup&amp;TrailerCost'!$B$1:$G$71</definedName>
    <definedName name="_xlnm.Print_Area" localSheetId="1">'2. Contract Freight Cost'!$B$2:$E$35</definedName>
    <definedName name="_xlnm.Print_Area" localSheetId="2">'3. Loan Payment Schedule'!$B$1:$I$31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5" l="1"/>
  <c r="E26" i="25"/>
  <c r="G26" i="25" s="1"/>
  <c r="F25" i="25"/>
  <c r="E25" i="25"/>
  <c r="G25" i="25" s="1"/>
  <c r="F24" i="25"/>
  <c r="G24" i="25" s="1"/>
  <c r="E24" i="25"/>
  <c r="G23" i="25"/>
  <c r="F23" i="25"/>
  <c r="E23" i="25"/>
  <c r="F22" i="25"/>
  <c r="E22" i="25"/>
  <c r="G22" i="25" s="1"/>
  <c r="F21" i="25"/>
  <c r="E21" i="25"/>
  <c r="G21" i="25" s="1"/>
  <c r="F20" i="25"/>
  <c r="G20" i="25" s="1"/>
  <c r="E20" i="25"/>
  <c r="G19" i="25"/>
  <c r="F19" i="25"/>
  <c r="E19" i="25"/>
  <c r="F18" i="25"/>
  <c r="E18" i="25"/>
  <c r="G18" i="25" s="1"/>
  <c r="C18" i="25"/>
  <c r="C19" i="25" s="1"/>
  <c r="C20" i="25" s="1"/>
  <c r="C21" i="25" s="1"/>
  <c r="C22" i="25" s="1"/>
  <c r="C23" i="25" s="1"/>
  <c r="C24" i="25" s="1"/>
  <c r="C25" i="25" s="1"/>
  <c r="C26" i="25" s="1"/>
  <c r="F17" i="25"/>
  <c r="F29" i="25" s="1"/>
  <c r="E17" i="25"/>
  <c r="G17" i="25" s="1"/>
  <c r="C17" i="25"/>
  <c r="G7" i="25"/>
  <c r="I17" i="25" s="1"/>
  <c r="I18" i="25" s="1"/>
  <c r="I19" i="25" s="1"/>
  <c r="I20" i="25" s="1"/>
  <c r="I21" i="25" s="1"/>
  <c r="I22" i="25" s="1"/>
  <c r="I23" i="25" s="1"/>
  <c r="I24" i="25" s="1"/>
  <c r="I25" i="25" s="1"/>
  <c r="I26" i="25" s="1"/>
  <c r="G5" i="25"/>
  <c r="G29" i="25" l="1"/>
  <c r="G12" i="25"/>
  <c r="G11" i="25"/>
  <c r="M15" i="25"/>
  <c r="G9" i="25" s="1"/>
  <c r="N15" i="25"/>
  <c r="E29" i="25"/>
  <c r="O16" i="25"/>
  <c r="E11" i="24" l="1"/>
  <c r="E7" i="24"/>
  <c r="E9" i="24" s="1"/>
  <c r="E12" i="24" s="1"/>
  <c r="E59" i="23" l="1"/>
  <c r="D20" i="24" l="1"/>
  <c r="B24" i="24"/>
  <c r="B33" i="24"/>
  <c r="D29" i="24" s="1"/>
  <c r="B29" i="24" s="1"/>
  <c r="D33" i="24"/>
  <c r="D22" i="24" l="1"/>
  <c r="D24" i="24" s="1"/>
  <c r="G2" i="23"/>
  <c r="F38" i="23"/>
  <c r="E38" i="23"/>
  <c r="E37" i="23"/>
  <c r="F36" i="23"/>
  <c r="E36" i="23"/>
  <c r="F35" i="23"/>
  <c r="E35" i="23"/>
  <c r="F29" i="23"/>
  <c r="E29" i="23"/>
  <c r="F28" i="23"/>
  <c r="E28" i="23"/>
  <c r="E27" i="23"/>
  <c r="F14" i="23"/>
  <c r="F37" i="23" s="1"/>
  <c r="F13" i="23"/>
  <c r="F27" i="23" s="1"/>
  <c r="F31" i="23" s="1"/>
  <c r="F32" i="23" s="1"/>
  <c r="G29" i="23" l="1"/>
  <c r="E40" i="23"/>
  <c r="E41" i="23" s="1"/>
  <c r="G37" i="23"/>
  <c r="G38" i="23"/>
  <c r="G36" i="23"/>
  <c r="E31" i="23"/>
  <c r="E32" i="23" s="1"/>
  <c r="E47" i="23" s="1"/>
  <c r="F47" i="23"/>
  <c r="F46" i="23" s="1"/>
  <c r="F40" i="23"/>
  <c r="F41" i="23" s="1"/>
  <c r="G28" i="23"/>
  <c r="G35" i="23"/>
  <c r="G27" i="23"/>
  <c r="G41" i="23" l="1"/>
  <c r="G31" i="23"/>
  <c r="E63" i="23" s="1"/>
  <c r="F44" i="23"/>
  <c r="G40" i="23"/>
  <c r="E64" i="23" s="1"/>
  <c r="F64" i="23" s="1"/>
  <c r="E43" i="23"/>
  <c r="E44" i="23"/>
  <c r="G32" i="23"/>
  <c r="F43" i="23"/>
  <c r="G47" i="23"/>
  <c r="E46" i="23"/>
  <c r="G46" i="23" s="1"/>
  <c r="E69" i="23" s="1"/>
  <c r="G44" i="23" l="1"/>
  <c r="G43" i="23"/>
  <c r="F69" i="23"/>
  <c r="F63" i="23"/>
  <c r="E65" i="23"/>
  <c r="E67" i="23" s="1"/>
  <c r="G69" i="23" l="1"/>
  <c r="F65" i="23"/>
  <c r="G65" i="23" l="1"/>
</calcChain>
</file>

<file path=xl/sharedStrings.xml><?xml version="1.0" encoding="utf-8"?>
<sst xmlns="http://schemas.openxmlformats.org/spreadsheetml/2006/main" count="213" uniqueCount="133">
  <si>
    <t>$/Cwt.</t>
  </si>
  <si>
    <t>Head</t>
  </si>
  <si>
    <t>Pounds load</t>
  </si>
  <si>
    <t>Description</t>
  </si>
  <si>
    <t>Pickup</t>
  </si>
  <si>
    <t>Trailer</t>
  </si>
  <si>
    <t>Input Data</t>
  </si>
  <si>
    <t>Units</t>
  </si>
  <si>
    <t>Values</t>
  </si>
  <si>
    <t>-</t>
  </si>
  <si>
    <t xml:space="preserve"> -------</t>
  </si>
  <si>
    <t xml:space="preserve"> ------------------</t>
  </si>
  <si>
    <t>Current Value</t>
  </si>
  <si>
    <t>$</t>
  </si>
  <si>
    <t>Enter zero if not pulling trailer</t>
  </si>
  <si>
    <t>Total Miles Used (useful life)</t>
  </si>
  <si>
    <t>Mile</t>
  </si>
  <si>
    <t>Current Mileage</t>
  </si>
  <si>
    <t>Salvage Value (trade or junk)</t>
  </si>
  <si>
    <t>Annual Miles of Use</t>
  </si>
  <si>
    <t>Fuel Use (miles per gallon)</t>
  </si>
  <si>
    <t>Gal.</t>
  </si>
  <si>
    <t>Cost of Fuel</t>
  </si>
  <si>
    <t>$/Gal.</t>
  </si>
  <si>
    <t>Decision aid uses mileage with trailer if the trailer is included.</t>
  </si>
  <si>
    <t>Interest Rate on Capital</t>
  </si>
  <si>
    <t>%</t>
  </si>
  <si>
    <t>Monthly Loan Payments (if made)</t>
  </si>
  <si>
    <t>Annual License &amp; Tax</t>
  </si>
  <si>
    <t>Annual Insurance Cost</t>
  </si>
  <si>
    <t>Tire Cost (per set)</t>
  </si>
  <si>
    <t>Tire Life in Miles</t>
  </si>
  <si>
    <t>Annual Repair &amp; Maintenance Cost</t>
  </si>
  <si>
    <t>=</t>
  </si>
  <si>
    <t>Per Mile and Annual Costs</t>
  </si>
  <si>
    <t>Combined</t>
  </si>
  <si>
    <t>Cost Components</t>
  </si>
  <si>
    <t>Costs</t>
  </si>
  <si>
    <t xml:space="preserve"> -----------------</t>
  </si>
  <si>
    <t>Operating or Variable Cost</t>
  </si>
  <si>
    <t xml:space="preserve">    Fuel</t>
  </si>
  <si>
    <t>$/Mi.</t>
  </si>
  <si>
    <t xml:space="preserve">    Tires</t>
  </si>
  <si>
    <t xml:space="preserve">    Repair &amp; Maintenance</t>
  </si>
  <si>
    <t xml:space="preserve"> -----------</t>
  </si>
  <si>
    <t>Fixed Costs</t>
  </si>
  <si>
    <t xml:space="preserve">   License / Tax</t>
  </si>
  <si>
    <t xml:space="preserve">   Insurance</t>
  </si>
  <si>
    <t xml:space="preserve">   Interest (non-cash)</t>
  </si>
  <si>
    <t xml:space="preserve">   Depreciation</t>
  </si>
  <si>
    <t>Total Fixed Cost</t>
  </si>
  <si>
    <t>Total Annual Fixed Cost</t>
  </si>
  <si>
    <t>Total Cost per Mile</t>
  </si>
  <si>
    <t>Total Annual Cost</t>
  </si>
  <si>
    <t>Total Cash Costs per Mile *</t>
  </si>
  <si>
    <t>Total Cash Costs *</t>
  </si>
  <si>
    <t/>
  </si>
  <si>
    <t>*Includes loan payment if being made.</t>
  </si>
  <si>
    <t>Value</t>
  </si>
  <si>
    <t xml:space="preserve"> -------------------</t>
  </si>
  <si>
    <t>Total Miles Traveled for Trip</t>
  </si>
  <si>
    <t>Miles</t>
  </si>
  <si>
    <t>Total Driver Labor Required</t>
  </si>
  <si>
    <t>Hr.</t>
  </si>
  <si>
    <t>Driver Labor Cost per Hour</t>
  </si>
  <si>
    <t>$/Hr.</t>
  </si>
  <si>
    <t>Total Additional Labor Required</t>
  </si>
  <si>
    <t>Additional Labor Cost / Hour</t>
  </si>
  <si>
    <t>Total Number Hauled per Trip</t>
  </si>
  <si>
    <t>Per Trip</t>
  </si>
  <si>
    <t>Total Variable Cost</t>
  </si>
  <si>
    <t>Total Cash Cost**</t>
  </si>
  <si>
    <t>**Assumes driver and additional labor is a cash cost.</t>
  </si>
  <si>
    <t xml:space="preserve">Per Head </t>
  </si>
  <si>
    <t>Hauled</t>
  </si>
  <si>
    <t>Load Weight</t>
  </si>
  <si>
    <t>Lbs./Head</t>
  </si>
  <si>
    <t>Total Operating or Variable Cost</t>
  </si>
  <si>
    <t>Annual Operating or Variable Cost</t>
  </si>
  <si>
    <t xml:space="preserve">       $/Cwt.</t>
  </si>
  <si>
    <t xml:space="preserve"> --------------</t>
  </si>
  <si>
    <t>Miles Required</t>
  </si>
  <si>
    <t>Total Cost per Load Mile</t>
  </si>
  <si>
    <t xml:space="preserve">Total Cost of Load </t>
  </si>
  <si>
    <t>Ford 350  and Trailer - 24x8 Feet</t>
  </si>
  <si>
    <t># Head/Load</t>
  </si>
  <si>
    <t xml:space="preserve">Weight/Head </t>
  </si>
  <si>
    <t>Total Per Head</t>
  </si>
  <si>
    <t>Total Per Load</t>
  </si>
  <si>
    <t>Cost/Loaded mile</t>
  </si>
  <si>
    <t>Miles Shipped</t>
  </si>
  <si>
    <t>Freight Cost Calculator Per Head</t>
  </si>
  <si>
    <t>Calculated Cost For a Trip Owned Vehicle and Trailer</t>
  </si>
  <si>
    <t xml:space="preserve">   Weight of Cattle</t>
  </si>
  <si>
    <t xml:space="preserve">   Head of Cattle</t>
  </si>
  <si>
    <t xml:space="preserve">   Average Weight Per Head</t>
  </si>
  <si>
    <t>Cost per Head</t>
  </si>
  <si>
    <t>Cost per Cwt.</t>
  </si>
  <si>
    <t>Lbs.</t>
  </si>
  <si>
    <t>Distance to Market - Round Trip</t>
  </si>
  <si>
    <t xml:space="preserve">    Miles</t>
  </si>
  <si>
    <t>$/Head</t>
  </si>
  <si>
    <t>Billed Cost for Hauling</t>
  </si>
  <si>
    <t>Contractors will provide the data to use either of decision aids.</t>
  </si>
  <si>
    <t>Local Auction Service to Haul Cattle</t>
  </si>
  <si>
    <t>Local auction provided hauling service option</t>
  </si>
  <si>
    <t>Date of Calculation</t>
  </si>
  <si>
    <t>Contractor Freight Cost Calculator Per Loaded Mile</t>
  </si>
  <si>
    <t xml:space="preserve">  Freight Cost Calculator Per Loaded Mile Based on Per Hd. Charge</t>
  </si>
  <si>
    <t>Term Loan Payment Schedule</t>
  </si>
  <si>
    <t>Total Investment</t>
  </si>
  <si>
    <t>Equity In Total Investment (%)</t>
  </si>
  <si>
    <t xml:space="preserve">                              Down Payment of</t>
  </si>
  <si>
    <t>Length of Note (Years)</t>
  </si>
  <si>
    <t xml:space="preserve">         Total Initial Loan</t>
  </si>
  <si>
    <t>Interest Rate (%)</t>
  </si>
  <si>
    <t xml:space="preserve">         Total Interest Cost</t>
  </si>
  <si>
    <t>Payment/Month</t>
  </si>
  <si>
    <t>Total  Check on Equations</t>
  </si>
  <si>
    <t>Payment/Per Year</t>
  </si>
  <si>
    <t>Interest</t>
  </si>
  <si>
    <t xml:space="preserve"> Principal</t>
  </si>
  <si>
    <t>Annual Debt Service Requirement</t>
  </si>
  <si>
    <t>Year</t>
  </si>
  <si>
    <t>Total</t>
  </si>
  <si>
    <t>Principal</t>
  </si>
  <si>
    <t>Payments</t>
  </si>
  <si>
    <t>Initial Year of Loan</t>
  </si>
  <si>
    <t>Payment</t>
  </si>
  <si>
    <t xml:space="preserve">    Balance</t>
  </si>
  <si>
    <t>Remaining Balance</t>
  </si>
  <si>
    <t>See loan payment calculator in sheet 2.</t>
  </si>
  <si>
    <t>Owned Pickup and Trailer Cost and Contract Freight Cost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</si>
</sst>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&quot;$&quot;#,##0.000_);\(&quot;$&quot;#,##0.000\)"/>
    <numFmt numFmtId="168" formatCode="#,##0.0"/>
    <numFmt numFmtId="169" formatCode="[$$-409]#,##0"/>
    <numFmt numFmtId="170" formatCode="0.00_)"/>
    <numFmt numFmtId="171" formatCode="0_)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sz val="11"/>
      <name val="Arial"/>
      <family val="2"/>
    </font>
    <font>
      <sz val="12"/>
      <color rgb="FF0000FF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</font>
    <font>
      <sz val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2" fontId="2" fillId="3" borderId="0"/>
    <xf numFmtId="44" fontId="15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Border="1"/>
    <xf numFmtId="2" fontId="2" fillId="0" borderId="0" xfId="2" applyNumberFormat="1" applyFill="1" applyProtection="1"/>
    <xf numFmtId="2" fontId="2" fillId="0" borderId="0" xfId="2" applyNumberFormat="1" applyFont="1" applyFill="1" applyAlignment="1" applyProtection="1">
      <alignment horizontal="right"/>
    </xf>
    <xf numFmtId="15" fontId="2" fillId="0" borderId="0" xfId="2" applyNumberFormat="1" applyFill="1" applyProtection="1"/>
    <xf numFmtId="2" fontId="2" fillId="0" borderId="0" xfId="2" applyNumberFormat="1" applyFill="1" applyAlignment="1" applyProtection="1">
      <alignment horizontal="center"/>
    </xf>
    <xf numFmtId="2" fontId="3" fillId="0" borderId="0" xfId="2" applyNumberFormat="1" applyFont="1" applyFill="1" applyAlignment="1" applyProtection="1">
      <alignment horizontal="center"/>
    </xf>
    <xf numFmtId="2" fontId="2" fillId="0" borderId="0" xfId="2" applyNumberFormat="1" applyFill="1" applyAlignment="1" applyProtection="1">
      <alignment horizontal="fill"/>
    </xf>
    <xf numFmtId="2" fontId="2" fillId="0" borderId="0" xfId="2" applyNumberFormat="1" applyFont="1" applyFill="1" applyAlignment="1" applyProtection="1">
      <alignment horizontal="center"/>
    </xf>
    <xf numFmtId="2" fontId="2" fillId="0" borderId="0" xfId="2" applyNumberFormat="1" applyFont="1" applyFill="1" applyProtection="1"/>
    <xf numFmtId="165" fontId="9" fillId="0" borderId="1" xfId="2" applyNumberFormat="1" applyFont="1" applyFill="1" applyBorder="1" applyProtection="1">
      <protection locked="0"/>
    </xf>
    <xf numFmtId="3" fontId="9" fillId="0" borderId="1" xfId="2" applyNumberFormat="1" applyFont="1" applyFill="1" applyBorder="1" applyProtection="1">
      <protection locked="0"/>
    </xf>
    <xf numFmtId="164" fontId="9" fillId="0" borderId="1" xfId="2" applyNumberFormat="1" applyFont="1" applyFill="1" applyBorder="1" applyProtection="1">
      <protection locked="0"/>
    </xf>
    <xf numFmtId="164" fontId="2" fillId="0" borderId="1" xfId="2" applyNumberFormat="1" applyFill="1" applyBorder="1" applyProtection="1"/>
    <xf numFmtId="4" fontId="9" fillId="0" borderId="1" xfId="2" applyNumberFormat="1" applyFont="1" applyFill="1" applyBorder="1" applyProtection="1">
      <protection locked="0"/>
    </xf>
    <xf numFmtId="4" fontId="2" fillId="0" borderId="1" xfId="2" applyNumberFormat="1" applyFill="1" applyBorder="1" applyProtection="1"/>
    <xf numFmtId="2" fontId="3" fillId="0" borderId="0" xfId="2" applyNumberFormat="1" applyFont="1" applyFill="1" applyProtection="1"/>
    <xf numFmtId="167" fontId="2" fillId="0" borderId="0" xfId="2" applyNumberFormat="1" applyFill="1" applyProtection="1"/>
    <xf numFmtId="2" fontId="2" fillId="0" borderId="0" xfId="2" applyNumberFormat="1" applyFill="1" applyAlignment="1" applyProtection="1">
      <alignment horizontal="right"/>
    </xf>
    <xf numFmtId="7" fontId="2" fillId="0" borderId="0" xfId="2" applyNumberFormat="1" applyFill="1" applyProtection="1"/>
    <xf numFmtId="5" fontId="2" fillId="0" borderId="0" xfId="2" applyNumberFormat="1" applyFill="1" applyProtection="1"/>
    <xf numFmtId="2" fontId="5" fillId="0" borderId="0" xfId="2" applyNumberFormat="1" applyFont="1" applyFill="1" applyProtection="1"/>
    <xf numFmtId="7" fontId="3" fillId="0" borderId="0" xfId="2" applyNumberFormat="1" applyFont="1" applyFill="1" applyProtection="1"/>
    <xf numFmtId="2" fontId="1" fillId="0" borderId="0" xfId="2" applyNumberFormat="1" applyFont="1" applyFill="1" applyProtection="1"/>
    <xf numFmtId="7" fontId="10" fillId="0" borderId="0" xfId="2" applyNumberFormat="1" applyFont="1" applyFill="1" applyProtection="1"/>
    <xf numFmtId="166" fontId="2" fillId="0" borderId="0" xfId="1" applyNumberFormat="1" applyFont="1" applyFill="1" applyProtection="1"/>
    <xf numFmtId="164" fontId="3" fillId="0" borderId="0" xfId="2" applyNumberFormat="1" applyFont="1" applyFill="1" applyProtection="1"/>
    <xf numFmtId="3" fontId="2" fillId="0" borderId="0" xfId="2" applyNumberFormat="1" applyFont="1" applyFill="1" applyBorder="1" applyProtection="1"/>
    <xf numFmtId="2" fontId="3" fillId="2" borderId="0" xfId="2" applyNumberFormat="1" applyFont="1" applyFill="1" applyProtection="1"/>
    <xf numFmtId="2" fontId="10" fillId="2" borderId="0" xfId="2" applyNumberFormat="1" applyFont="1" applyFill="1" applyAlignment="1" applyProtection="1">
      <alignment horizontal="center"/>
    </xf>
    <xf numFmtId="7" fontId="3" fillId="2" borderId="0" xfId="2" applyNumberFormat="1" applyFont="1" applyFill="1" applyProtection="1"/>
    <xf numFmtId="164" fontId="3" fillId="2" borderId="0" xfId="2" applyNumberFormat="1" applyFont="1" applyFill="1" applyProtection="1"/>
    <xf numFmtId="7" fontId="0" fillId="0" borderId="0" xfId="0" applyNumberFormat="1"/>
    <xf numFmtId="2" fontId="3" fillId="2" borderId="0" xfId="2" applyNumberFormat="1" applyFont="1" applyFill="1" applyAlignment="1" applyProtection="1">
      <alignment horizontal="center"/>
    </xf>
    <xf numFmtId="7" fontId="11" fillId="2" borderId="0" xfId="2" applyNumberFormat="1" applyFont="1" applyFill="1" applyProtection="1"/>
    <xf numFmtId="0" fontId="7" fillId="0" borderId="0" xfId="0" applyFont="1" applyFill="1"/>
    <xf numFmtId="168" fontId="2" fillId="0" borderId="0" xfId="2" applyNumberFormat="1" applyFont="1" applyFill="1" applyBorder="1" applyProtection="1"/>
    <xf numFmtId="164" fontId="2" fillId="0" borderId="0" xfId="2" applyNumberFormat="1" applyFont="1" applyFill="1" applyBorder="1" applyProtection="1"/>
    <xf numFmtId="168" fontId="6" fillId="0" borderId="5" xfId="2" applyNumberFormat="1" applyFont="1" applyFill="1" applyBorder="1" applyProtection="1">
      <protection locked="0"/>
    </xf>
    <xf numFmtId="0" fontId="2" fillId="0" borderId="6" xfId="0" applyFont="1" applyBorder="1"/>
    <xf numFmtId="8" fontId="2" fillId="0" borderId="7" xfId="0" applyNumberFormat="1" applyFont="1" applyBorder="1"/>
    <xf numFmtId="0" fontId="2" fillId="0" borderId="7" xfId="0" applyFont="1" applyBorder="1"/>
    <xf numFmtId="1" fontId="2" fillId="0" borderId="8" xfId="0" applyNumberFormat="1" applyFont="1" applyBorder="1"/>
    <xf numFmtId="0" fontId="2" fillId="0" borderId="9" xfId="0" applyFont="1" applyBorder="1"/>
    <xf numFmtId="166" fontId="6" fillId="0" borderId="10" xfId="0" applyNumberFormat="1" applyFont="1" applyBorder="1" applyProtection="1">
      <protection locked="0"/>
    </xf>
    <xf numFmtId="6" fontId="2" fillId="0" borderId="0" xfId="0" applyNumberFormat="1" applyFont="1" applyBorder="1"/>
    <xf numFmtId="7" fontId="2" fillId="0" borderId="11" xfId="0" applyNumberFormat="1" applyFont="1" applyBorder="1"/>
    <xf numFmtId="7" fontId="3" fillId="0" borderId="10" xfId="0" applyNumberFormat="1" applyFont="1" applyBorder="1" applyProtection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8" fontId="3" fillId="0" borderId="0" xfId="0" applyNumberFormat="1" applyFont="1" applyBorder="1"/>
    <xf numFmtId="7" fontId="6" fillId="0" borderId="10" xfId="0" applyNumberFormat="1" applyFont="1" applyBorder="1" applyProtection="1">
      <protection locked="0"/>
    </xf>
    <xf numFmtId="0" fontId="12" fillId="0" borderId="0" xfId="0" applyFont="1"/>
    <xf numFmtId="3" fontId="6" fillId="0" borderId="5" xfId="2" applyNumberFormat="1" applyFont="1" applyFill="1" applyBorder="1" applyProtection="1">
      <protection locked="0"/>
    </xf>
    <xf numFmtId="164" fontId="6" fillId="0" borderId="5" xfId="2" applyNumberFormat="1" applyFont="1" applyFill="1" applyBorder="1" applyProtection="1">
      <protection locked="0"/>
    </xf>
    <xf numFmtId="168" fontId="2" fillId="0" borderId="15" xfId="2" applyNumberFormat="1" applyFont="1" applyFill="1" applyBorder="1" applyProtection="1"/>
    <xf numFmtId="166" fontId="6" fillId="0" borderId="5" xfId="1" applyNumberFormat="1" applyFont="1" applyFill="1" applyBorder="1" applyProtection="1">
      <protection locked="0"/>
    </xf>
    <xf numFmtId="1" fontId="6" fillId="0" borderId="5" xfId="2" applyNumberFormat="1" applyFont="1" applyFill="1" applyBorder="1" applyProtection="1">
      <protection locked="0"/>
    </xf>
    <xf numFmtId="165" fontId="6" fillId="0" borderId="5" xfId="1" applyNumberFormat="1" applyFont="1" applyFill="1" applyBorder="1" applyProtection="1">
      <protection locked="0"/>
    </xf>
    <xf numFmtId="8" fontId="6" fillId="0" borderId="5" xfId="0" applyNumberFormat="1" applyFont="1" applyBorder="1" applyProtection="1">
      <protection locked="0"/>
    </xf>
    <xf numFmtId="2" fontId="2" fillId="0" borderId="0" xfId="2" applyNumberFormat="1" applyFont="1" applyFill="1" applyAlignment="1" applyProtection="1">
      <alignment horizontal="left"/>
      <protection locked="0"/>
    </xf>
    <xf numFmtId="1" fontId="2" fillId="0" borderId="0" xfId="2" applyNumberFormat="1" applyFill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13" fillId="0" borderId="17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4" fillId="0" borderId="16" xfId="0" applyFont="1" applyBorder="1" applyProtection="1"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Protection="1">
      <protection locked="0"/>
    </xf>
    <xf numFmtId="169" fontId="4" fillId="4" borderId="20" xfId="0" applyNumberFormat="1" applyFont="1" applyFill="1" applyBorder="1" applyProtection="1">
      <protection locked="0"/>
    </xf>
    <xf numFmtId="170" fontId="4" fillId="4" borderId="2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5" fontId="2" fillId="0" borderId="0" xfId="0" applyNumberFormat="1" applyFont="1"/>
    <xf numFmtId="165" fontId="4" fillId="0" borderId="0" xfId="0" applyNumberFormat="1" applyFont="1"/>
    <xf numFmtId="0" fontId="4" fillId="4" borderId="20" xfId="0" applyFont="1" applyFill="1" applyBorder="1" applyProtection="1">
      <protection locked="0"/>
    </xf>
    <xf numFmtId="165" fontId="2" fillId="0" borderId="0" xfId="0" applyNumberFormat="1" applyFont="1"/>
    <xf numFmtId="7" fontId="3" fillId="0" borderId="0" xfId="0" applyNumberFormat="1" applyFont="1"/>
    <xf numFmtId="165" fontId="3" fillId="0" borderId="0" xfId="0" applyNumberFormat="1" applyFont="1"/>
    <xf numFmtId="170" fontId="4" fillId="4" borderId="0" xfId="0" applyNumberFormat="1" applyFont="1" applyFill="1" applyProtection="1">
      <protection locked="0"/>
    </xf>
    <xf numFmtId="5" fontId="3" fillId="0" borderId="0" xfId="0" applyNumberFormat="1" applyFont="1"/>
    <xf numFmtId="0" fontId="3" fillId="0" borderId="0" xfId="0" applyFont="1" applyAlignment="1">
      <alignment horizontal="center"/>
    </xf>
    <xf numFmtId="171" fontId="4" fillId="4" borderId="20" xfId="0" applyNumberFormat="1" applyFont="1" applyFill="1" applyBorder="1" applyProtection="1">
      <protection locked="0"/>
    </xf>
    <xf numFmtId="5" fontId="0" fillId="0" borderId="0" xfId="0" applyNumberFormat="1"/>
    <xf numFmtId="5" fontId="1" fillId="0" borderId="0" xfId="0" applyNumberFormat="1" applyFont="1"/>
    <xf numFmtId="5" fontId="17" fillId="4" borderId="0" xfId="0" applyNumberFormat="1" applyFont="1" applyFill="1"/>
    <xf numFmtId="5" fontId="18" fillId="4" borderId="0" xfId="0" applyNumberFormat="1" applyFont="1" applyFill="1"/>
    <xf numFmtId="169" fontId="2" fillId="0" borderId="0" xfId="3" applyNumberFormat="1" applyFont="1"/>
    <xf numFmtId="7" fontId="17" fillId="4" borderId="0" xfId="0" applyNumberFormat="1" applyFont="1" applyFill="1"/>
    <xf numFmtId="0" fontId="17" fillId="4" borderId="0" xfId="0" applyFont="1" applyFill="1"/>
    <xf numFmtId="2" fontId="8" fillId="0" borderId="0" xfId="2" applyNumberFormat="1" applyFont="1" applyFill="1" applyAlignment="1" applyProtection="1">
      <alignment horizontal="center"/>
    </xf>
    <xf numFmtId="2" fontId="4" fillId="0" borderId="2" xfId="2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4" xfId="0" applyBorder="1" applyAlignment="1"/>
    <xf numFmtId="2" fontId="6" fillId="0" borderId="0" xfId="2" applyNumberFormat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_Pickup Analysis" xfId="2" xr:uid="{00000000-0005-0000-0000-000002000000}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337457</xdr:colOff>
      <xdr:row>2</xdr:row>
      <xdr:rowOff>125185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115F578A-05CE-4302-B1E7-86B56C06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7714" y="223157"/>
          <a:ext cx="990600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745673</xdr:colOff>
      <xdr:row>3</xdr:row>
      <xdr:rowOff>16328</xdr:rowOff>
    </xdr:from>
    <xdr:to>
      <xdr:col>10</xdr:col>
      <xdr:colOff>353785</xdr:colOff>
      <xdr:row>5</xdr:row>
      <xdr:rowOff>14513</xdr:rowOff>
    </xdr:to>
    <xdr:pic>
      <xdr:nvPicPr>
        <xdr:cNvPr id="2" name="Picture 2" descr="TAMAgEXT">
          <a:extLst>
            <a:ext uri="{FF2B5EF4-FFF2-40B4-BE49-F238E27FC236}">
              <a16:creationId xmlns:a16="http://schemas.microsoft.com/office/drawing/2014/main" id="{E40EE0E9-604E-420A-8F5B-2540B3C1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130" y="620485"/>
          <a:ext cx="1262741" cy="37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2"/>
  <sheetViews>
    <sheetView tabSelected="1" topLeftCell="A17" workbookViewId="0">
      <selection activeCell="B5" sqref="B5"/>
    </sheetView>
  </sheetViews>
  <sheetFormatPr defaultRowHeight="12.45" x14ac:dyDescent="0.3"/>
  <cols>
    <col min="1" max="1" width="4.84375" customWidth="1"/>
    <col min="2" max="2" width="35.69140625" customWidth="1"/>
    <col min="4" max="4" width="6.53515625" customWidth="1"/>
    <col min="5" max="5" width="16.23046875" customWidth="1"/>
    <col min="6" max="6" width="16.53515625" customWidth="1"/>
    <col min="7" max="7" width="12.4609375" customWidth="1"/>
  </cols>
  <sheetData>
    <row r="1" spans="2:8" ht="17.600000000000001" x14ac:dyDescent="0.4">
      <c r="B1" s="94" t="s">
        <v>132</v>
      </c>
      <c r="C1" s="94"/>
      <c r="D1" s="94"/>
      <c r="E1" s="94"/>
      <c r="F1" s="94"/>
      <c r="G1" s="94"/>
    </row>
    <row r="2" spans="2:8" ht="15" x14ac:dyDescent="0.35">
      <c r="B2" s="5"/>
      <c r="C2" s="5"/>
      <c r="D2" s="5"/>
      <c r="E2" s="1" t="s">
        <v>106</v>
      </c>
      <c r="G2" s="7">
        <f ca="1">NOW()</f>
        <v>43857.376364351854</v>
      </c>
    </row>
    <row r="3" spans="2:8" ht="15" x14ac:dyDescent="0.35">
      <c r="B3" s="6" t="s">
        <v>3</v>
      </c>
      <c r="C3" s="95" t="s">
        <v>84</v>
      </c>
      <c r="D3" s="96"/>
      <c r="E3" s="96"/>
      <c r="F3" s="97"/>
      <c r="G3" s="98"/>
    </row>
    <row r="4" spans="2:8" ht="15" x14ac:dyDescent="0.35">
      <c r="B4" s="5"/>
      <c r="C4" s="5"/>
      <c r="D4" s="5"/>
      <c r="E4" s="8" t="s">
        <v>4</v>
      </c>
      <c r="F4" s="8" t="s">
        <v>5</v>
      </c>
      <c r="G4" s="5"/>
    </row>
    <row r="5" spans="2:8" ht="15.45" x14ac:dyDescent="0.4">
      <c r="B5" s="9" t="s">
        <v>6</v>
      </c>
      <c r="C5" s="8" t="s">
        <v>7</v>
      </c>
      <c r="D5" s="5"/>
      <c r="E5" s="8" t="s">
        <v>8</v>
      </c>
      <c r="F5" s="8" t="s">
        <v>8</v>
      </c>
      <c r="G5" s="5"/>
    </row>
    <row r="6" spans="2:8" ht="15" x14ac:dyDescent="0.35">
      <c r="B6" s="10" t="s">
        <v>9</v>
      </c>
      <c r="C6" s="11" t="s">
        <v>10</v>
      </c>
      <c r="D6" s="5"/>
      <c r="E6" s="12" t="s">
        <v>11</v>
      </c>
      <c r="F6" s="12" t="s">
        <v>11</v>
      </c>
      <c r="G6" s="5"/>
    </row>
    <row r="7" spans="2:8" ht="15" x14ac:dyDescent="0.35">
      <c r="B7" s="5" t="s">
        <v>12</v>
      </c>
      <c r="C7" s="11" t="s">
        <v>13</v>
      </c>
      <c r="D7" s="5"/>
      <c r="E7" s="13">
        <v>60000</v>
      </c>
      <c r="F7" s="13">
        <v>15000</v>
      </c>
      <c r="G7" s="5"/>
      <c r="H7" t="s">
        <v>14</v>
      </c>
    </row>
    <row r="8" spans="2:8" ht="15" x14ac:dyDescent="0.35">
      <c r="B8" s="5" t="s">
        <v>15</v>
      </c>
      <c r="C8" s="8" t="s">
        <v>16</v>
      </c>
      <c r="D8" s="5"/>
      <c r="E8" s="14">
        <v>100000</v>
      </c>
      <c r="F8" s="14">
        <v>50000</v>
      </c>
      <c r="G8" s="5"/>
    </row>
    <row r="9" spans="2:8" ht="15" x14ac:dyDescent="0.35">
      <c r="B9" s="5" t="s">
        <v>17</v>
      </c>
      <c r="C9" s="8" t="s">
        <v>16</v>
      </c>
      <c r="D9" s="5"/>
      <c r="E9" s="14">
        <v>0</v>
      </c>
      <c r="F9" s="14">
        <v>0</v>
      </c>
      <c r="G9" s="5"/>
    </row>
    <row r="10" spans="2:8" ht="15" x14ac:dyDescent="0.35">
      <c r="B10" s="5" t="s">
        <v>18</v>
      </c>
      <c r="C10" s="8" t="s">
        <v>13</v>
      </c>
      <c r="D10" s="5"/>
      <c r="E10" s="13">
        <v>5000</v>
      </c>
      <c r="F10" s="13">
        <v>0</v>
      </c>
      <c r="G10" s="5"/>
    </row>
    <row r="11" spans="2:8" ht="15" x14ac:dyDescent="0.35">
      <c r="B11" s="5" t="s">
        <v>19</v>
      </c>
      <c r="C11" s="8" t="s">
        <v>16</v>
      </c>
      <c r="D11" s="5"/>
      <c r="E11" s="14">
        <v>30000</v>
      </c>
      <c r="F11" s="14">
        <v>1000</v>
      </c>
      <c r="G11" s="5"/>
    </row>
    <row r="12" spans="2:8" ht="15" x14ac:dyDescent="0.35">
      <c r="B12" s="5" t="s">
        <v>20</v>
      </c>
      <c r="C12" s="8" t="s">
        <v>21</v>
      </c>
      <c r="D12" s="5"/>
      <c r="E12" s="14">
        <v>15</v>
      </c>
      <c r="F12" s="14">
        <v>6</v>
      </c>
      <c r="G12" s="5"/>
      <c r="H12" t="s">
        <v>14</v>
      </c>
    </row>
    <row r="13" spans="2:8" ht="15" x14ac:dyDescent="0.35">
      <c r="B13" s="5" t="s">
        <v>22</v>
      </c>
      <c r="C13" s="8" t="s">
        <v>23</v>
      </c>
      <c r="D13" s="5"/>
      <c r="E13" s="15">
        <v>2.2999999999999998</v>
      </c>
      <c r="F13" s="16">
        <f>E13</f>
        <v>2.2999999999999998</v>
      </c>
      <c r="G13" s="5"/>
      <c r="H13" t="s">
        <v>24</v>
      </c>
    </row>
    <row r="14" spans="2:8" ht="15" x14ac:dyDescent="0.35">
      <c r="B14" s="5" t="s">
        <v>25</v>
      </c>
      <c r="C14" s="8" t="s">
        <v>26</v>
      </c>
      <c r="D14" s="5"/>
      <c r="E14" s="17">
        <v>5</v>
      </c>
      <c r="F14" s="18">
        <f>E14</f>
        <v>5</v>
      </c>
      <c r="G14" s="5"/>
    </row>
    <row r="15" spans="2:8" ht="15" x14ac:dyDescent="0.35">
      <c r="B15" s="5" t="s">
        <v>27</v>
      </c>
      <c r="C15" s="8" t="s">
        <v>13</v>
      </c>
      <c r="D15" s="5"/>
      <c r="E15" s="13">
        <v>0</v>
      </c>
      <c r="F15" s="13">
        <v>0</v>
      </c>
      <c r="G15" s="5"/>
      <c r="H15" t="s">
        <v>131</v>
      </c>
    </row>
    <row r="16" spans="2:8" ht="15" x14ac:dyDescent="0.35">
      <c r="B16" s="5" t="s">
        <v>28</v>
      </c>
      <c r="C16" s="8" t="s">
        <v>13</v>
      </c>
      <c r="D16" s="5"/>
      <c r="E16" s="13">
        <v>100</v>
      </c>
      <c r="F16" s="13">
        <v>30</v>
      </c>
      <c r="G16" s="5"/>
      <c r="H16" t="s">
        <v>14</v>
      </c>
    </row>
    <row r="17" spans="2:8" ht="15" x14ac:dyDescent="0.35">
      <c r="B17" s="12" t="s">
        <v>29</v>
      </c>
      <c r="C17" s="8" t="s">
        <v>13</v>
      </c>
      <c r="D17" s="5"/>
      <c r="E17" s="13">
        <v>800</v>
      </c>
      <c r="F17" s="13">
        <v>50</v>
      </c>
      <c r="G17" s="5"/>
      <c r="H17" t="s">
        <v>14</v>
      </c>
    </row>
    <row r="18" spans="2:8" ht="15" x14ac:dyDescent="0.35">
      <c r="B18" s="5" t="s">
        <v>30</v>
      </c>
      <c r="C18" s="8" t="s">
        <v>13</v>
      </c>
      <c r="D18" s="5"/>
      <c r="E18" s="13">
        <v>1200</v>
      </c>
      <c r="F18" s="13">
        <v>200</v>
      </c>
      <c r="G18" s="5"/>
      <c r="H18" t="s">
        <v>14</v>
      </c>
    </row>
    <row r="19" spans="2:8" ht="15" x14ac:dyDescent="0.35">
      <c r="B19" s="5" t="s">
        <v>31</v>
      </c>
      <c r="C19" s="8" t="s">
        <v>16</v>
      </c>
      <c r="D19" s="5"/>
      <c r="E19" s="14">
        <v>25000</v>
      </c>
      <c r="F19" s="14">
        <v>20000</v>
      </c>
      <c r="G19" s="5"/>
    </row>
    <row r="20" spans="2:8" ht="15" x14ac:dyDescent="0.35">
      <c r="B20" s="12" t="s">
        <v>32</v>
      </c>
      <c r="C20" s="8" t="s">
        <v>13</v>
      </c>
      <c r="D20" s="5"/>
      <c r="E20" s="13">
        <v>1000</v>
      </c>
      <c r="F20" s="13">
        <v>100</v>
      </c>
      <c r="G20" s="5"/>
      <c r="H20" t="s">
        <v>14</v>
      </c>
    </row>
    <row r="21" spans="2:8" ht="15" x14ac:dyDescent="0.35">
      <c r="B21" s="10" t="s">
        <v>33</v>
      </c>
      <c r="C21" s="10"/>
      <c r="D21" s="10"/>
      <c r="E21" s="10"/>
      <c r="F21" s="10"/>
      <c r="G21" s="10"/>
    </row>
    <row r="22" spans="2:8" ht="17.600000000000001" x14ac:dyDescent="0.4">
      <c r="B22" s="94" t="s">
        <v>34</v>
      </c>
      <c r="C22" s="94"/>
      <c r="D22" s="94"/>
      <c r="E22" s="94"/>
      <c r="F22" s="94"/>
      <c r="G22" s="94"/>
    </row>
    <row r="23" spans="2:8" ht="15" x14ac:dyDescent="0.35">
      <c r="B23" s="5"/>
      <c r="C23" s="5"/>
      <c r="D23" s="5"/>
      <c r="E23" s="8" t="s">
        <v>4</v>
      </c>
      <c r="F23" s="8" t="s">
        <v>5</v>
      </c>
      <c r="G23" s="8" t="s">
        <v>35</v>
      </c>
    </row>
    <row r="24" spans="2:8" ht="15.45" x14ac:dyDescent="0.4">
      <c r="B24" s="9" t="s">
        <v>36</v>
      </c>
      <c r="C24" s="8" t="s">
        <v>7</v>
      </c>
      <c r="D24" s="5"/>
      <c r="E24" s="8" t="s">
        <v>8</v>
      </c>
      <c r="F24" s="8" t="s">
        <v>8</v>
      </c>
      <c r="G24" s="8" t="s">
        <v>37</v>
      </c>
    </row>
    <row r="25" spans="2:8" ht="15" x14ac:dyDescent="0.35">
      <c r="B25" s="10" t="s">
        <v>9</v>
      </c>
      <c r="C25" s="11" t="s">
        <v>10</v>
      </c>
      <c r="D25" s="5"/>
      <c r="E25" s="12" t="s">
        <v>38</v>
      </c>
      <c r="F25" s="12" t="s">
        <v>38</v>
      </c>
      <c r="G25" s="12" t="s">
        <v>38</v>
      </c>
    </row>
    <row r="26" spans="2:8" ht="15.45" x14ac:dyDescent="0.4">
      <c r="B26" s="19" t="s">
        <v>39</v>
      </c>
      <c r="C26" s="8"/>
      <c r="D26" s="5"/>
      <c r="E26" s="5"/>
      <c r="F26" s="5"/>
      <c r="G26" s="5"/>
    </row>
    <row r="27" spans="2:8" ht="15" x14ac:dyDescent="0.35">
      <c r="B27" s="5" t="s">
        <v>40</v>
      </c>
      <c r="C27" s="11" t="s">
        <v>41</v>
      </c>
      <c r="D27" s="5"/>
      <c r="E27" s="20">
        <f>IF(E12=0,0,E13/E12)</f>
        <v>0.15333333333333332</v>
      </c>
      <c r="F27" s="20">
        <f>IF(F12=0,0,F13/F12)</f>
        <v>0.3833333333333333</v>
      </c>
      <c r="G27" s="20">
        <f>IF(F7=0,E27,F27)</f>
        <v>0.3833333333333333</v>
      </c>
    </row>
    <row r="28" spans="2:8" ht="15" x14ac:dyDescent="0.35">
      <c r="B28" s="5" t="s">
        <v>42</v>
      </c>
      <c r="C28" s="11" t="s">
        <v>41</v>
      </c>
      <c r="D28" s="5"/>
      <c r="E28" s="20">
        <f>IF(E19=0,0,E18/E19)</f>
        <v>4.8000000000000001E-2</v>
      </c>
      <c r="F28" s="20">
        <f>IF(F19=0,0,F18/F19)</f>
        <v>0.01</v>
      </c>
      <c r="G28" s="20">
        <f>(E28+F28)</f>
        <v>5.8000000000000003E-2</v>
      </c>
    </row>
    <row r="29" spans="2:8" ht="15" x14ac:dyDescent="0.35">
      <c r="B29" s="5" t="s">
        <v>43</v>
      </c>
      <c r="C29" s="11" t="s">
        <v>41</v>
      </c>
      <c r="D29" s="5"/>
      <c r="E29" s="20">
        <f>IF(E11=0,0,E20/E11)</f>
        <v>3.3333333333333333E-2</v>
      </c>
      <c r="F29" s="20">
        <f>IF(F11=0,0,F20/F11)</f>
        <v>0.1</v>
      </c>
      <c r="G29" s="20">
        <f>(E29+F29)</f>
        <v>0.13333333333333333</v>
      </c>
    </row>
    <row r="30" spans="2:8" ht="15" x14ac:dyDescent="0.35">
      <c r="B30" s="5"/>
      <c r="C30" s="8"/>
      <c r="D30" s="5"/>
      <c r="E30" s="21" t="s">
        <v>44</v>
      </c>
      <c r="F30" s="21" t="s">
        <v>44</v>
      </c>
      <c r="G30" s="21" t="s">
        <v>44</v>
      </c>
    </row>
    <row r="31" spans="2:8" ht="15.45" x14ac:dyDescent="0.4">
      <c r="B31" s="12" t="s">
        <v>77</v>
      </c>
      <c r="C31" s="11" t="s">
        <v>41</v>
      </c>
      <c r="D31" s="5"/>
      <c r="E31" s="22">
        <f>SUM(E27:E29)</f>
        <v>0.23466666666666663</v>
      </c>
      <c r="F31" s="22">
        <f>SUM(F27:F29)</f>
        <v>0.49333333333333329</v>
      </c>
      <c r="G31" s="25">
        <f>SUM(G27:G29)</f>
        <v>0.57466666666666666</v>
      </c>
    </row>
    <row r="32" spans="2:8" ht="15" x14ac:dyDescent="0.35">
      <c r="B32" s="12" t="s">
        <v>78</v>
      </c>
      <c r="C32" s="8" t="s">
        <v>13</v>
      </c>
      <c r="D32" s="5"/>
      <c r="E32" s="23">
        <f>(E31*E11)</f>
        <v>7039.9999999999991</v>
      </c>
      <c r="F32" s="23">
        <f>(F31*F11)</f>
        <v>493.33333333333331</v>
      </c>
      <c r="G32" s="23">
        <f>(E32+F32)</f>
        <v>7533.3333333333321</v>
      </c>
    </row>
    <row r="33" spans="2:7" ht="15" x14ac:dyDescent="0.35">
      <c r="B33" s="24"/>
      <c r="C33" s="8"/>
      <c r="D33" s="5"/>
      <c r="E33" s="5"/>
      <c r="F33" s="5"/>
      <c r="G33" s="5"/>
    </row>
    <row r="34" spans="2:7" ht="15.45" x14ac:dyDescent="0.4">
      <c r="B34" s="19" t="s">
        <v>45</v>
      </c>
      <c r="C34" s="8"/>
      <c r="D34" s="5"/>
      <c r="E34" s="5"/>
      <c r="F34" s="5"/>
      <c r="G34" s="5"/>
    </row>
    <row r="35" spans="2:7" ht="15" x14ac:dyDescent="0.35">
      <c r="B35" s="5" t="s">
        <v>46</v>
      </c>
      <c r="C35" s="11" t="s">
        <v>41</v>
      </c>
      <c r="D35" s="5"/>
      <c r="E35" s="20">
        <f>IF(E11=0,0,E16/E11)</f>
        <v>3.3333333333333335E-3</v>
      </c>
      <c r="F35" s="20">
        <f>IF(F11=0,0,F16/F11)</f>
        <v>0.03</v>
      </c>
      <c r="G35" s="20">
        <f>(E35+F35)</f>
        <v>3.3333333333333333E-2</v>
      </c>
    </row>
    <row r="36" spans="2:7" ht="15" x14ac:dyDescent="0.35">
      <c r="B36" s="5" t="s">
        <v>47</v>
      </c>
      <c r="C36" s="11" t="s">
        <v>41</v>
      </c>
      <c r="D36" s="5"/>
      <c r="E36" s="20">
        <f>IF(E11=0,0,E17/E11)</f>
        <v>2.6666666666666668E-2</v>
      </c>
      <c r="F36" s="20">
        <f>IF(F11=0,0,F17/F11)</f>
        <v>0.05</v>
      </c>
      <c r="G36" s="20">
        <f>(E36+F36)</f>
        <v>7.6666666666666675E-2</v>
      </c>
    </row>
    <row r="37" spans="2:7" ht="15" x14ac:dyDescent="0.35">
      <c r="B37" s="5" t="s">
        <v>48</v>
      </c>
      <c r="C37" s="11" t="s">
        <v>41</v>
      </c>
      <c r="D37" s="5"/>
      <c r="E37" s="20">
        <f>IF(E11=0,0,(E7-(((E7-E10)*(E11/(E8-E9))/2)))*E14*0.01/E11)</f>
        <v>8.6249999999999993E-2</v>
      </c>
      <c r="F37" s="20">
        <f>IF(F11=0,0,(F7-(((F7-F10)*(F11/(F8-F9))/2)))*F14*0.01/F11)</f>
        <v>0.74250000000000005</v>
      </c>
      <c r="G37" s="20">
        <f>(E37+F37)</f>
        <v>0.8287500000000001</v>
      </c>
    </row>
    <row r="38" spans="2:7" ht="15" x14ac:dyDescent="0.35">
      <c r="B38" s="5" t="s">
        <v>49</v>
      </c>
      <c r="C38" s="11" t="s">
        <v>41</v>
      </c>
      <c r="D38" s="5"/>
      <c r="E38" s="20">
        <f>IF(E11=0,0,((E7-E10)*E11/(E8-E9))/E11)</f>
        <v>0.55000000000000004</v>
      </c>
      <c r="F38" s="20">
        <f>IF(F11=0,0,((F7-F10)*F11/(F8-F9))/F11)</f>
        <v>0.3</v>
      </c>
      <c r="G38" s="20">
        <f>(E38+F38)</f>
        <v>0.85000000000000009</v>
      </c>
    </row>
    <row r="39" spans="2:7" ht="15" x14ac:dyDescent="0.35">
      <c r="B39" s="5"/>
      <c r="C39" s="8"/>
      <c r="D39" s="5"/>
      <c r="E39" s="21" t="s">
        <v>44</v>
      </c>
      <c r="F39" s="21" t="s">
        <v>44</v>
      </c>
      <c r="G39" s="21" t="s">
        <v>44</v>
      </c>
    </row>
    <row r="40" spans="2:7" ht="15.45" x14ac:dyDescent="0.4">
      <c r="B40" s="5" t="s">
        <v>50</v>
      </c>
      <c r="C40" s="11" t="s">
        <v>41</v>
      </c>
      <c r="D40" s="5"/>
      <c r="E40" s="22">
        <f>SUM(E35:E38)</f>
        <v>0.66625000000000001</v>
      </c>
      <c r="F40" s="22">
        <f>SUM(F35:F38)</f>
        <v>1.1225000000000001</v>
      </c>
      <c r="G40" s="25">
        <f>SUM(G35:G38)</f>
        <v>1.7887500000000003</v>
      </c>
    </row>
    <row r="41" spans="2:7" ht="15" x14ac:dyDescent="0.35">
      <c r="B41" s="5" t="s">
        <v>51</v>
      </c>
      <c r="C41" s="8" t="s">
        <v>13</v>
      </c>
      <c r="D41" s="5"/>
      <c r="E41" s="23">
        <f>(E40*E11)</f>
        <v>19987.5</v>
      </c>
      <c r="F41" s="23">
        <f>(F40*F11)</f>
        <v>1122.5</v>
      </c>
      <c r="G41" s="23">
        <f>(E41+F41)</f>
        <v>21110</v>
      </c>
    </row>
    <row r="42" spans="2:7" ht="15" x14ac:dyDescent="0.35">
      <c r="B42" s="5"/>
      <c r="C42" s="8"/>
      <c r="D42" s="5"/>
      <c r="E42" s="5"/>
      <c r="F42" s="5"/>
      <c r="G42" s="5"/>
    </row>
    <row r="43" spans="2:7" ht="15.45" x14ac:dyDescent="0.4">
      <c r="B43" s="31" t="s">
        <v>52</v>
      </c>
      <c r="C43" s="36" t="s">
        <v>41</v>
      </c>
      <c r="D43" s="31"/>
      <c r="E43" s="33">
        <f>IF(E11=0,0,((E32+E41)/E11))</f>
        <v>0.9009166666666667</v>
      </c>
      <c r="F43" s="33">
        <f>IF(F11=0,0,((F32+F41)/F11))</f>
        <v>1.6158333333333332</v>
      </c>
      <c r="G43" s="33">
        <f>(G31+G40)</f>
        <v>2.3634166666666667</v>
      </c>
    </row>
    <row r="44" spans="2:7" ht="15" x14ac:dyDescent="0.35">
      <c r="B44" s="5" t="s">
        <v>53</v>
      </c>
      <c r="C44" s="8" t="s">
        <v>13</v>
      </c>
      <c r="D44" s="5"/>
      <c r="E44" s="23">
        <f>(E32+E41)</f>
        <v>27027.5</v>
      </c>
      <c r="F44" s="23">
        <f>(F32+F41)</f>
        <v>1615.8333333333333</v>
      </c>
      <c r="G44" s="23">
        <f>(E44+F44)</f>
        <v>28643.333333333332</v>
      </c>
    </row>
    <row r="45" spans="2:7" ht="15" x14ac:dyDescent="0.35">
      <c r="B45" s="10" t="s">
        <v>9</v>
      </c>
      <c r="C45" s="10"/>
      <c r="D45" s="10"/>
      <c r="E45" s="10"/>
      <c r="F45" s="10"/>
      <c r="G45" s="10"/>
    </row>
    <row r="46" spans="2:7" ht="17.600000000000001" x14ac:dyDescent="0.4">
      <c r="B46" s="19" t="s">
        <v>54</v>
      </c>
      <c r="C46" s="9" t="s">
        <v>41</v>
      </c>
      <c r="D46" s="19"/>
      <c r="E46" s="25">
        <f>IF(E11=0,0,E47/E11)</f>
        <v>0.26466666666666666</v>
      </c>
      <c r="F46" s="25">
        <f>IF(F11=0,0,F47/F11)</f>
        <v>0.57333333333333325</v>
      </c>
      <c r="G46" s="27">
        <f>(E46+F46)</f>
        <v>0.83799999999999986</v>
      </c>
    </row>
    <row r="47" spans="2:7" ht="15" x14ac:dyDescent="0.35">
      <c r="B47" s="5" t="s">
        <v>55</v>
      </c>
      <c r="C47" s="8" t="s">
        <v>13</v>
      </c>
      <c r="D47" s="5"/>
      <c r="E47" s="23">
        <f>(E32+E15*12+E16+E17)</f>
        <v>7939.9999999999991</v>
      </c>
      <c r="F47" s="23">
        <f>(F32+F15*12+F16+F17)</f>
        <v>573.33333333333326</v>
      </c>
      <c r="G47" s="23">
        <f>(E47+F47)</f>
        <v>8513.3333333333321</v>
      </c>
    </row>
    <row r="48" spans="2:7" ht="15" x14ac:dyDescent="0.35">
      <c r="B48" s="5"/>
      <c r="C48" s="5"/>
      <c r="D48" s="5"/>
      <c r="E48" s="22" t="s">
        <v>56</v>
      </c>
      <c r="F48" s="5"/>
      <c r="G48" s="5"/>
    </row>
    <row r="49" spans="2:9" ht="15" x14ac:dyDescent="0.35">
      <c r="B49" s="24" t="s">
        <v>57</v>
      </c>
      <c r="C49" s="5"/>
      <c r="D49" s="5"/>
      <c r="E49" s="5"/>
      <c r="F49" s="5"/>
      <c r="G49" s="5"/>
    </row>
    <row r="50" spans="2:9" ht="15" x14ac:dyDescent="0.35">
      <c r="B50" s="10" t="s">
        <v>33</v>
      </c>
      <c r="C50" s="10"/>
      <c r="D50" s="10"/>
      <c r="E50" s="10"/>
      <c r="F50" s="10"/>
      <c r="G50" s="10"/>
    </row>
    <row r="51" spans="2:9" ht="17.600000000000001" x14ac:dyDescent="0.4">
      <c r="B51" s="94" t="s">
        <v>92</v>
      </c>
      <c r="C51" s="94"/>
      <c r="D51" s="94"/>
      <c r="E51" s="94"/>
      <c r="F51" s="94"/>
      <c r="G51" s="94"/>
    </row>
    <row r="52" spans="2:9" ht="15" x14ac:dyDescent="0.35">
      <c r="B52" s="11" t="s">
        <v>6</v>
      </c>
      <c r="C52" s="8" t="s">
        <v>7</v>
      </c>
      <c r="D52" s="5"/>
      <c r="E52" s="8" t="s">
        <v>58</v>
      </c>
      <c r="F52" s="5"/>
      <c r="G52" s="5"/>
    </row>
    <row r="53" spans="2:9" ht="15" x14ac:dyDescent="0.35">
      <c r="B53" s="10" t="s">
        <v>9</v>
      </c>
      <c r="C53" s="11" t="s">
        <v>10</v>
      </c>
      <c r="D53" s="5"/>
      <c r="E53" s="6" t="s">
        <v>59</v>
      </c>
      <c r="F53" s="5"/>
      <c r="G53" s="5"/>
      <c r="H53" s="38"/>
    </row>
    <row r="54" spans="2:9" ht="15" x14ac:dyDescent="0.35">
      <c r="B54" s="5" t="s">
        <v>60</v>
      </c>
      <c r="C54" s="8" t="s">
        <v>61</v>
      </c>
      <c r="D54" s="5"/>
      <c r="E54" s="57">
        <v>100</v>
      </c>
      <c r="F54" s="5" t="s">
        <v>81</v>
      </c>
      <c r="G54" s="5"/>
    </row>
    <row r="55" spans="2:9" ht="15" x14ac:dyDescent="0.35">
      <c r="B55" s="5" t="s">
        <v>62</v>
      </c>
      <c r="C55" s="8" t="s">
        <v>63</v>
      </c>
      <c r="D55" s="5"/>
      <c r="E55" s="41">
        <v>4</v>
      </c>
      <c r="F55" s="5"/>
      <c r="G55" s="5"/>
    </row>
    <row r="56" spans="2:9" ht="15" x14ac:dyDescent="0.35">
      <c r="B56" s="5" t="s">
        <v>64</v>
      </c>
      <c r="C56" s="11" t="s">
        <v>65</v>
      </c>
      <c r="D56" s="5"/>
      <c r="E56" s="58">
        <v>20</v>
      </c>
      <c r="F56" s="5"/>
      <c r="G56" s="5"/>
    </row>
    <row r="57" spans="2:9" ht="15" x14ac:dyDescent="0.35">
      <c r="B57" s="12" t="s">
        <v>66</v>
      </c>
      <c r="C57" s="8" t="s">
        <v>63</v>
      </c>
      <c r="D57" s="5"/>
      <c r="E57" s="41">
        <v>0</v>
      </c>
      <c r="F57" s="5"/>
      <c r="G57" s="5"/>
    </row>
    <row r="58" spans="2:9" ht="15" x14ac:dyDescent="0.35">
      <c r="B58" s="5" t="s">
        <v>67</v>
      </c>
      <c r="C58" s="11" t="s">
        <v>65</v>
      </c>
      <c r="D58" s="5"/>
      <c r="E58" s="58">
        <v>20</v>
      </c>
      <c r="F58" s="5" t="s">
        <v>75</v>
      </c>
      <c r="G58" s="5" t="s">
        <v>76</v>
      </c>
    </row>
    <row r="59" spans="2:9" ht="15" x14ac:dyDescent="0.35">
      <c r="B59" s="5" t="s">
        <v>68</v>
      </c>
      <c r="C59" s="8" t="s">
        <v>1</v>
      </c>
      <c r="D59" s="5"/>
      <c r="E59" s="59">
        <f>IF(G59=0,0,F59/G59)</f>
        <v>16.923076923076923</v>
      </c>
      <c r="F59" s="57">
        <v>11000</v>
      </c>
      <c r="G59" s="57">
        <v>650</v>
      </c>
    </row>
    <row r="60" spans="2:9" ht="15.45" x14ac:dyDescent="0.4">
      <c r="B60" s="5"/>
      <c r="C60" s="5"/>
      <c r="D60" s="5"/>
      <c r="E60" s="11"/>
      <c r="F60" s="9" t="s">
        <v>73</v>
      </c>
      <c r="G60" s="5"/>
    </row>
    <row r="61" spans="2:9" ht="15.45" x14ac:dyDescent="0.4">
      <c r="B61" s="11" t="s">
        <v>36</v>
      </c>
      <c r="C61" s="8" t="s">
        <v>7</v>
      </c>
      <c r="D61" s="5"/>
      <c r="E61" s="11" t="s">
        <v>69</v>
      </c>
      <c r="F61" s="9" t="s">
        <v>74</v>
      </c>
      <c r="G61" s="19" t="s">
        <v>79</v>
      </c>
      <c r="I61" s="3"/>
    </row>
    <row r="62" spans="2:9" ht="15" x14ac:dyDescent="0.35">
      <c r="B62" s="10" t="s">
        <v>9</v>
      </c>
      <c r="C62" s="11" t="s">
        <v>10</v>
      </c>
      <c r="D62" s="5"/>
      <c r="E62" s="12" t="s">
        <v>38</v>
      </c>
      <c r="F62" s="12" t="s">
        <v>38</v>
      </c>
      <c r="G62" s="12" t="s">
        <v>80</v>
      </c>
      <c r="I62" s="3"/>
    </row>
    <row r="63" spans="2:9" ht="15" x14ac:dyDescent="0.35">
      <c r="B63" s="5" t="s">
        <v>70</v>
      </c>
      <c r="C63" s="8" t="s">
        <v>13</v>
      </c>
      <c r="D63" s="5"/>
      <c r="E63" s="22">
        <f>(G31*E54+E55*E56+E57*E58)</f>
        <v>137.46666666666667</v>
      </c>
      <c r="F63" s="22">
        <f>IF(E59=0,0,E63/E59)</f>
        <v>8.123030303030303</v>
      </c>
      <c r="G63" s="5"/>
      <c r="I63" s="35"/>
    </row>
    <row r="64" spans="2:9" ht="15" x14ac:dyDescent="0.35">
      <c r="B64" s="5" t="s">
        <v>50</v>
      </c>
      <c r="C64" s="8" t="s">
        <v>13</v>
      </c>
      <c r="D64" s="5"/>
      <c r="E64" s="22">
        <f>(G40*E54)</f>
        <v>178.87500000000003</v>
      </c>
      <c r="F64" s="22">
        <f>IF(E59=0,0,E64/E59)</f>
        <v>10.569886363636366</v>
      </c>
      <c r="I64" s="35"/>
    </row>
    <row r="65" spans="1:9" ht="15.45" x14ac:dyDescent="0.4">
      <c r="A65" s="2"/>
      <c r="B65" s="31" t="s">
        <v>83</v>
      </c>
      <c r="C65" s="36" t="s">
        <v>13</v>
      </c>
      <c r="D65" s="31"/>
      <c r="E65" s="33">
        <f>SUM(E63:E64)</f>
        <v>316.3416666666667</v>
      </c>
      <c r="F65" s="33">
        <f>SUM(F63:F64)</f>
        <v>18.692916666666669</v>
      </c>
      <c r="G65" s="34">
        <f>(F65/$G$59)*100</f>
        <v>2.8758333333333339</v>
      </c>
    </row>
    <row r="66" spans="1:9" ht="15.45" x14ac:dyDescent="0.4">
      <c r="A66" s="2"/>
    </row>
    <row r="67" spans="1:9" ht="20.149999999999999" x14ac:dyDescent="0.5">
      <c r="B67" s="31" t="s">
        <v>82</v>
      </c>
      <c r="C67" s="32" t="s">
        <v>13</v>
      </c>
      <c r="D67" s="31"/>
      <c r="E67" s="37">
        <f>IF(E54=0,0,E65/E54)</f>
        <v>3.163416666666667</v>
      </c>
      <c r="F67" s="22"/>
      <c r="G67" s="5"/>
    </row>
    <row r="68" spans="1:9" ht="15" x14ac:dyDescent="0.35">
      <c r="B68" s="10" t="s">
        <v>9</v>
      </c>
      <c r="C68" s="22"/>
      <c r="D68" s="22"/>
      <c r="E68" s="22"/>
      <c r="F68" s="22"/>
      <c r="G68" s="5"/>
    </row>
    <row r="69" spans="1:9" ht="15.45" x14ac:dyDescent="0.4">
      <c r="A69" s="2"/>
      <c r="B69" s="19" t="s">
        <v>71</v>
      </c>
      <c r="C69" s="9" t="s">
        <v>13</v>
      </c>
      <c r="D69" s="19"/>
      <c r="E69" s="25">
        <f>(G46*E54+E55*E56+E57*E58)</f>
        <v>163.79999999999998</v>
      </c>
      <c r="F69" s="25">
        <f>IF(E59=0,0,E69/E59)</f>
        <v>9.6790909090909079</v>
      </c>
      <c r="G69" s="29">
        <f>(F69/$G$59)*100</f>
        <v>1.4890909090909088</v>
      </c>
      <c r="I69" s="35"/>
    </row>
    <row r="70" spans="1:9" ht="15" x14ac:dyDescent="0.35">
      <c r="B70" s="26" t="s">
        <v>72</v>
      </c>
      <c r="C70" s="5"/>
      <c r="D70" s="5"/>
      <c r="E70" s="5"/>
      <c r="F70" s="5"/>
      <c r="G70" s="5"/>
    </row>
    <row r="71" spans="1:9" ht="15.45" x14ac:dyDescent="0.4">
      <c r="B71" s="19"/>
      <c r="C71" s="8"/>
      <c r="D71" s="5"/>
      <c r="E71" s="5"/>
      <c r="F71" s="5"/>
      <c r="G71" s="5"/>
    </row>
    <row r="82" spans="2:9" ht="15" x14ac:dyDescent="0.35">
      <c r="B82" s="10"/>
      <c r="C82" s="10"/>
      <c r="D82" s="10"/>
      <c r="E82" s="10"/>
      <c r="F82" s="10"/>
      <c r="G82" s="10"/>
    </row>
    <row r="83" spans="2:9" ht="17.600000000000001" x14ac:dyDescent="0.4">
      <c r="B83" s="94"/>
      <c r="C83" s="94"/>
      <c r="D83" s="94"/>
      <c r="E83" s="94"/>
      <c r="F83" s="94"/>
      <c r="G83" s="94"/>
    </row>
    <row r="84" spans="2:9" ht="15" x14ac:dyDescent="0.35">
      <c r="B84" s="11"/>
      <c r="C84" s="8"/>
      <c r="D84" s="5"/>
      <c r="E84" s="8"/>
      <c r="F84" s="5"/>
      <c r="G84" s="5"/>
    </row>
    <row r="85" spans="2:9" ht="15" x14ac:dyDescent="0.35">
      <c r="B85" s="10"/>
      <c r="C85" s="11"/>
      <c r="D85" s="5"/>
      <c r="E85" s="6"/>
      <c r="F85" s="5"/>
      <c r="G85" s="5"/>
      <c r="H85" s="38"/>
    </row>
    <row r="86" spans="2:9" ht="15" x14ac:dyDescent="0.35">
      <c r="B86" s="5"/>
      <c r="C86" s="8"/>
      <c r="D86" s="5"/>
      <c r="E86" s="30"/>
      <c r="F86" s="5"/>
      <c r="G86" s="5"/>
    </row>
    <row r="87" spans="2:9" ht="15" x14ac:dyDescent="0.35">
      <c r="B87" s="5"/>
      <c r="C87" s="8"/>
      <c r="D87" s="5"/>
      <c r="E87" s="30"/>
      <c r="F87" s="5"/>
      <c r="G87" s="5"/>
    </row>
    <row r="88" spans="2:9" ht="15" x14ac:dyDescent="0.35">
      <c r="B88" s="5"/>
      <c r="C88" s="11"/>
      <c r="D88" s="5"/>
      <c r="E88" s="40"/>
      <c r="F88" s="5"/>
      <c r="G88" s="5"/>
    </row>
    <row r="89" spans="2:9" ht="15" x14ac:dyDescent="0.35">
      <c r="B89" s="12"/>
      <c r="C89" s="8"/>
      <c r="D89" s="5"/>
      <c r="E89" s="40"/>
      <c r="F89" s="5"/>
      <c r="G89" s="5"/>
    </row>
    <row r="90" spans="2:9" ht="15" x14ac:dyDescent="0.35">
      <c r="B90" s="5"/>
      <c r="C90" s="11"/>
      <c r="D90" s="5"/>
      <c r="E90" s="40"/>
      <c r="F90" s="5"/>
      <c r="G90" s="5"/>
    </row>
    <row r="91" spans="2:9" ht="15" x14ac:dyDescent="0.35">
      <c r="B91" s="5"/>
      <c r="C91" s="8"/>
      <c r="D91" s="5"/>
      <c r="E91" s="39"/>
      <c r="F91" s="28"/>
      <c r="G91" s="28"/>
    </row>
    <row r="92" spans="2:9" ht="15.45" x14ac:dyDescent="0.4">
      <c r="B92" s="5"/>
      <c r="C92" s="5"/>
      <c r="D92" s="5"/>
      <c r="E92" s="11"/>
      <c r="F92" s="9"/>
      <c r="G92" s="5"/>
    </row>
    <row r="93" spans="2:9" ht="15.45" x14ac:dyDescent="0.4">
      <c r="B93" s="11"/>
      <c r="C93" s="8"/>
      <c r="D93" s="5"/>
      <c r="E93" s="11"/>
      <c r="F93" s="9"/>
      <c r="G93" s="19"/>
      <c r="I93" s="3"/>
    </row>
    <row r="94" spans="2:9" ht="15" x14ac:dyDescent="0.35">
      <c r="B94" s="10"/>
      <c r="C94" s="11"/>
      <c r="D94" s="5"/>
      <c r="E94" s="12"/>
      <c r="F94" s="12"/>
      <c r="G94" s="12"/>
      <c r="I94" s="3"/>
    </row>
    <row r="95" spans="2:9" ht="15" x14ac:dyDescent="0.35">
      <c r="B95" s="5"/>
      <c r="C95" s="8"/>
      <c r="D95" s="5"/>
      <c r="E95" s="22"/>
      <c r="F95" s="22"/>
      <c r="G95" s="5"/>
      <c r="I95" s="35"/>
    </row>
    <row r="96" spans="2:9" ht="15" x14ac:dyDescent="0.35">
      <c r="B96" s="5"/>
      <c r="C96" s="8"/>
      <c r="D96" s="5"/>
      <c r="E96" s="22"/>
      <c r="F96" s="22"/>
      <c r="I96" s="35"/>
    </row>
    <row r="97" spans="1:9" ht="15.45" x14ac:dyDescent="0.4">
      <c r="A97" s="2"/>
      <c r="B97" s="31"/>
      <c r="C97" s="36"/>
      <c r="D97" s="31"/>
      <c r="E97" s="33"/>
      <c r="F97" s="33"/>
      <c r="G97" s="34"/>
    </row>
    <row r="98" spans="1:9" ht="15.45" x14ac:dyDescent="0.4">
      <c r="A98" s="2"/>
    </row>
    <row r="99" spans="1:9" ht="20.149999999999999" x14ac:dyDescent="0.5">
      <c r="B99" s="31"/>
      <c r="C99" s="32"/>
      <c r="D99" s="31"/>
      <c r="E99" s="37"/>
      <c r="F99" s="22"/>
      <c r="G99" s="5"/>
    </row>
    <row r="100" spans="1:9" ht="15" x14ac:dyDescent="0.35">
      <c r="B100" s="10"/>
      <c r="C100" s="22"/>
      <c r="D100" s="22"/>
      <c r="E100" s="22"/>
      <c r="F100" s="22"/>
      <c r="G100" s="5"/>
    </row>
    <row r="101" spans="1:9" ht="15.45" x14ac:dyDescent="0.4">
      <c r="A101" s="2"/>
      <c r="B101" s="19"/>
      <c r="C101" s="9"/>
      <c r="D101" s="19"/>
      <c r="E101" s="25"/>
      <c r="F101" s="25"/>
      <c r="G101" s="29"/>
      <c r="I101" s="35"/>
    </row>
    <row r="102" spans="1:9" ht="15" x14ac:dyDescent="0.35">
      <c r="B102" s="26"/>
      <c r="C102" s="5"/>
      <c r="D102" s="5"/>
      <c r="E102" s="5"/>
      <c r="F102" s="5"/>
      <c r="G102" s="5"/>
    </row>
  </sheetData>
  <sheetProtection sheet="1" objects="1" scenarios="1"/>
  <mergeCells count="5">
    <mergeCell ref="B83:G83"/>
    <mergeCell ref="B1:G1"/>
    <mergeCell ref="B22:G22"/>
    <mergeCell ref="B51:G51"/>
    <mergeCell ref="C3:G3"/>
  </mergeCells>
  <pageMargins left="0.95" right="0.45" top="0.75" bottom="0.75" header="0.3" footer="0.3"/>
  <pageSetup scale="63" orientation="portrait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34"/>
  <sheetViews>
    <sheetView workbookViewId="0">
      <selection activeCell="J8" sqref="J8"/>
    </sheetView>
  </sheetViews>
  <sheetFormatPr defaultRowHeight="12.45" x14ac:dyDescent="0.3"/>
  <cols>
    <col min="2" max="2" width="20" customWidth="1"/>
    <col min="3" max="3" width="18.3046875" customWidth="1"/>
    <col min="4" max="4" width="11.4609375" customWidth="1"/>
    <col min="5" max="5" width="22.84375" customWidth="1"/>
  </cols>
  <sheetData>
    <row r="2" spans="2:7" ht="15.45" x14ac:dyDescent="0.4">
      <c r="B2" s="101" t="s">
        <v>104</v>
      </c>
      <c r="C2" s="102"/>
      <c r="D2" s="102"/>
      <c r="E2" s="102"/>
    </row>
    <row r="3" spans="2:7" ht="14.15" x14ac:dyDescent="0.35">
      <c r="B3" s="69" t="s">
        <v>105</v>
      </c>
      <c r="C3" s="67"/>
      <c r="D3" s="67"/>
      <c r="E3" s="68"/>
    </row>
    <row r="4" spans="2:7" ht="15" x14ac:dyDescent="0.35">
      <c r="B4" s="99"/>
      <c r="C4" s="100"/>
      <c r="D4" s="100"/>
      <c r="E4" s="20"/>
      <c r="F4" s="20"/>
      <c r="G4" s="20"/>
    </row>
    <row r="5" spans="2:7" ht="15" x14ac:dyDescent="0.35">
      <c r="B5" s="64" t="s">
        <v>99</v>
      </c>
      <c r="D5" s="66" t="s">
        <v>100</v>
      </c>
      <c r="E5" s="61">
        <v>100</v>
      </c>
      <c r="F5" s="20"/>
      <c r="G5" s="20"/>
    </row>
    <row r="6" spans="2:7" ht="15.45" x14ac:dyDescent="0.4">
      <c r="B6" s="19" t="s">
        <v>102</v>
      </c>
      <c r="D6" s="11"/>
      <c r="E6" s="62">
        <v>350</v>
      </c>
      <c r="F6" s="20"/>
      <c r="G6" s="20"/>
    </row>
    <row r="7" spans="2:7" ht="15" x14ac:dyDescent="0.35">
      <c r="B7" s="5" t="s">
        <v>93</v>
      </c>
      <c r="D7" s="11" t="s">
        <v>98</v>
      </c>
      <c r="E7" s="60">
        <f>8140+8080+1095</f>
        <v>17315</v>
      </c>
      <c r="F7" s="20"/>
      <c r="G7" s="20"/>
    </row>
    <row r="8" spans="2:7" ht="15" x14ac:dyDescent="0.35">
      <c r="B8" s="5" t="s">
        <v>94</v>
      </c>
      <c r="D8" s="11" t="s">
        <v>1</v>
      </c>
      <c r="E8" s="61">
        <v>27</v>
      </c>
      <c r="F8" s="20"/>
      <c r="G8" s="20"/>
    </row>
    <row r="9" spans="2:7" ht="15" x14ac:dyDescent="0.35">
      <c r="B9" s="5" t="s">
        <v>95</v>
      </c>
      <c r="D9" s="11" t="s">
        <v>98</v>
      </c>
      <c r="E9" s="65">
        <f>E7/E8</f>
        <v>641.2962962962963</v>
      </c>
      <c r="F9" s="21"/>
      <c r="G9" s="21"/>
    </row>
    <row r="10" spans="2:7" ht="15.45" x14ac:dyDescent="0.4">
      <c r="B10" s="5"/>
      <c r="D10" s="11"/>
      <c r="E10" s="22"/>
      <c r="F10" s="22"/>
      <c r="G10" s="25"/>
    </row>
    <row r="11" spans="2:7" ht="15.45" x14ac:dyDescent="0.4">
      <c r="B11" s="19" t="s">
        <v>96</v>
      </c>
      <c r="D11" s="9" t="s">
        <v>101</v>
      </c>
      <c r="E11" s="25">
        <f>IF(E8=0,0,$E$6/E8)</f>
        <v>12.962962962962964</v>
      </c>
      <c r="F11" s="22"/>
      <c r="G11" s="23"/>
    </row>
    <row r="12" spans="2:7" ht="15.45" x14ac:dyDescent="0.4">
      <c r="B12" s="19" t="s">
        <v>97</v>
      </c>
      <c r="D12" s="9" t="s">
        <v>0</v>
      </c>
      <c r="E12" s="25">
        <f>IF(E9=0,0,($E$6/E7)*100)</f>
        <v>2.0213687554143807</v>
      </c>
      <c r="F12" s="5"/>
      <c r="G12" s="5"/>
    </row>
    <row r="13" spans="2:7" ht="15" x14ac:dyDescent="0.35">
      <c r="B13" s="24"/>
      <c r="C13" s="5"/>
      <c r="D13" s="5"/>
      <c r="E13" s="5"/>
      <c r="F13" s="5"/>
      <c r="G13" s="5"/>
    </row>
    <row r="15" spans="2:7" ht="15.45" x14ac:dyDescent="0.4">
      <c r="B15" s="103" t="s">
        <v>107</v>
      </c>
      <c r="C15" s="104"/>
      <c r="D15" s="104"/>
      <c r="E15" s="104"/>
    </row>
    <row r="16" spans="2:7" ht="15.45" x14ac:dyDescent="0.4">
      <c r="B16" s="56"/>
    </row>
    <row r="17" spans="2:6" ht="15" x14ac:dyDescent="0.35">
      <c r="B17" s="69" t="s">
        <v>103</v>
      </c>
      <c r="C17" s="67"/>
      <c r="D17" s="67"/>
      <c r="E17" s="68"/>
      <c r="F17" s="1"/>
    </row>
    <row r="18" spans="2:6" ht="15.9" thickBot="1" x14ac:dyDescent="0.45">
      <c r="B18" s="2" t="s">
        <v>91</v>
      </c>
      <c r="C18" s="1"/>
      <c r="D18" s="1"/>
      <c r="E18" s="1"/>
      <c r="F18" s="1"/>
    </row>
    <row r="19" spans="2:6" ht="15.9" thickTop="1" thickBot="1" x14ac:dyDescent="0.4">
      <c r="B19" s="53"/>
      <c r="C19" s="52"/>
      <c r="D19" s="47">
        <v>100</v>
      </c>
      <c r="E19" s="51" t="s">
        <v>90</v>
      </c>
      <c r="F19" s="1"/>
    </row>
    <row r="20" spans="2:6" ht="15.9" thickTop="1" thickBot="1" x14ac:dyDescent="0.4">
      <c r="B20" s="55">
        <v>3.75</v>
      </c>
      <c r="C20" s="4" t="s">
        <v>89</v>
      </c>
      <c r="D20" s="48">
        <f>B20*D19</f>
        <v>375</v>
      </c>
      <c r="E20" s="46" t="s">
        <v>88</v>
      </c>
      <c r="F20" s="1"/>
    </row>
    <row r="21" spans="2:6" ht="15.9" thickTop="1" thickBot="1" x14ac:dyDescent="0.4">
      <c r="B21" s="49"/>
      <c r="C21" s="4"/>
      <c r="D21" s="48"/>
      <c r="E21" s="46"/>
      <c r="F21" s="1"/>
    </row>
    <row r="22" spans="2:6" ht="16.3" thickTop="1" thickBot="1" x14ac:dyDescent="0.45">
      <c r="B22" s="47">
        <v>50000</v>
      </c>
      <c r="C22" s="4" t="s">
        <v>2</v>
      </c>
      <c r="D22" s="54">
        <f>D20/B24</f>
        <v>4.875</v>
      </c>
      <c r="E22" s="46" t="s">
        <v>87</v>
      </c>
      <c r="F22" s="1"/>
    </row>
    <row r="23" spans="2:6" ht="15.9" thickTop="1" thickBot="1" x14ac:dyDescent="0.4">
      <c r="B23" s="47">
        <v>650</v>
      </c>
      <c r="C23" s="4" t="s">
        <v>86</v>
      </c>
      <c r="D23" s="4"/>
      <c r="E23" s="46"/>
      <c r="F23" s="1"/>
    </row>
    <row r="24" spans="2:6" ht="15.9" thickTop="1" thickBot="1" x14ac:dyDescent="0.4">
      <c r="B24" s="45">
        <f>B22/B23</f>
        <v>76.92307692307692</v>
      </c>
      <c r="C24" s="44" t="s">
        <v>85</v>
      </c>
      <c r="D24" s="43">
        <f>(D22/B23)*100</f>
        <v>0.75</v>
      </c>
      <c r="E24" s="42" t="s">
        <v>0</v>
      </c>
    </row>
    <row r="25" spans="2:6" ht="12.9" thickTop="1" x14ac:dyDescent="0.3"/>
    <row r="27" spans="2:6" ht="15.9" thickBot="1" x14ac:dyDescent="0.45">
      <c r="B27" s="2" t="s">
        <v>108</v>
      </c>
      <c r="C27" s="1"/>
      <c r="D27" s="1"/>
      <c r="E27" s="1"/>
    </row>
    <row r="28" spans="2:6" ht="15.9" thickTop="1" thickBot="1" x14ac:dyDescent="0.4">
      <c r="B28" s="53"/>
      <c r="C28" s="52"/>
      <c r="D28" s="47">
        <v>100</v>
      </c>
      <c r="E28" s="51" t="s">
        <v>90</v>
      </c>
    </row>
    <row r="29" spans="2:6" ht="16.3" thickTop="1" thickBot="1" x14ac:dyDescent="0.45">
      <c r="B29" s="50">
        <f>D29/D28</f>
        <v>4.2307692307692299</v>
      </c>
      <c r="C29" s="4" t="s">
        <v>89</v>
      </c>
      <c r="D29" s="48">
        <f>B33*D31</f>
        <v>423.07692307692304</v>
      </c>
      <c r="E29" s="46" t="s">
        <v>88</v>
      </c>
    </row>
    <row r="30" spans="2:6" ht="15.9" thickTop="1" thickBot="1" x14ac:dyDescent="0.4">
      <c r="B30" s="49"/>
      <c r="C30" s="4"/>
      <c r="D30" s="48"/>
      <c r="E30" s="46"/>
    </row>
    <row r="31" spans="2:6" ht="15.9" thickTop="1" thickBot="1" x14ac:dyDescent="0.4">
      <c r="B31" s="47">
        <v>50000</v>
      </c>
      <c r="C31" s="4" t="s">
        <v>2</v>
      </c>
      <c r="D31" s="63">
        <v>5.5</v>
      </c>
      <c r="E31" s="46" t="s">
        <v>87</v>
      </c>
    </row>
    <row r="32" spans="2:6" ht="15.9" thickTop="1" thickBot="1" x14ac:dyDescent="0.4">
      <c r="B32" s="47">
        <v>650</v>
      </c>
      <c r="C32" s="4" t="s">
        <v>86</v>
      </c>
      <c r="D32" s="4"/>
      <c r="E32" s="46"/>
    </row>
    <row r="33" spans="2:5" ht="15.9" thickTop="1" thickBot="1" x14ac:dyDescent="0.4">
      <c r="B33" s="45">
        <f>B31/B32</f>
        <v>76.92307692307692</v>
      </c>
      <c r="C33" s="44" t="s">
        <v>85</v>
      </c>
      <c r="D33" s="43">
        <f>(D31/B32)*100</f>
        <v>0.84615384615384615</v>
      </c>
      <c r="E33" s="42" t="s">
        <v>0</v>
      </c>
    </row>
    <row r="34" spans="2:5" ht="12.9" thickTop="1" x14ac:dyDescent="0.3"/>
  </sheetData>
  <sheetProtection sheet="1" objects="1" scenarios="1"/>
  <mergeCells count="3">
    <mergeCell ref="B4:D4"/>
    <mergeCell ref="B2:E2"/>
    <mergeCell ref="B15:E15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216FA-E943-4FCF-A56F-31D7DAA452E1}">
  <sheetPr>
    <pageSetUpPr fitToPage="1"/>
  </sheetPr>
  <dimension ref="B1:O29"/>
  <sheetViews>
    <sheetView topLeftCell="A3" workbookViewId="0">
      <selection activeCell="I9" sqref="I9"/>
    </sheetView>
  </sheetViews>
  <sheetFormatPr defaultRowHeight="12.45" x14ac:dyDescent="0.3"/>
  <cols>
    <col min="1" max="1" width="2.69140625" customWidth="1"/>
    <col min="2" max="2" width="21.765625" customWidth="1"/>
    <col min="6" max="6" width="19.15234375" customWidth="1"/>
    <col min="7" max="7" width="15.23046875" customWidth="1"/>
  </cols>
  <sheetData>
    <row r="1" spans="2:15" ht="17.600000000000001" x14ac:dyDescent="0.4">
      <c r="B1" s="105" t="s">
        <v>109</v>
      </c>
      <c r="C1" s="105"/>
      <c r="D1" s="105"/>
      <c r="E1" s="105"/>
      <c r="F1" s="105"/>
      <c r="G1" s="105"/>
      <c r="H1" s="105"/>
      <c r="I1" s="105"/>
    </row>
    <row r="2" spans="2:15" ht="17.600000000000001" x14ac:dyDescent="0.4">
      <c r="B2" s="71"/>
      <c r="C2" s="71"/>
      <c r="D2" s="71"/>
      <c r="E2" s="71"/>
      <c r="F2" s="71"/>
      <c r="G2" s="71"/>
      <c r="H2" s="71"/>
      <c r="I2" s="71"/>
      <c r="J2" s="72"/>
    </row>
    <row r="3" spans="2:15" ht="15" x14ac:dyDescent="0.35">
      <c r="B3" s="73"/>
      <c r="C3" s="73"/>
      <c r="D3" s="73"/>
      <c r="E3" s="73"/>
      <c r="F3" s="1"/>
      <c r="G3" s="73"/>
      <c r="H3" s="73"/>
      <c r="I3" s="1"/>
    </row>
    <row r="4" spans="2:15" ht="15" x14ac:dyDescent="0.35">
      <c r="B4" s="1" t="s">
        <v>110</v>
      </c>
      <c r="C4" s="1"/>
      <c r="D4" s="74">
        <v>60000</v>
      </c>
      <c r="E4" s="1"/>
      <c r="F4" s="1"/>
      <c r="G4" s="1"/>
    </row>
    <row r="5" spans="2:15" ht="15" x14ac:dyDescent="0.35">
      <c r="B5" s="1" t="s">
        <v>111</v>
      </c>
      <c r="C5" s="1"/>
      <c r="D5" s="75">
        <v>20</v>
      </c>
      <c r="E5" s="76" t="s">
        <v>112</v>
      </c>
      <c r="F5" s="1"/>
      <c r="G5" s="77">
        <f>ROUND(D5*D4*0.01,2)</f>
        <v>12000</v>
      </c>
      <c r="H5" s="77"/>
      <c r="I5" s="1"/>
      <c r="J5" s="78"/>
    </row>
    <row r="6" spans="2:15" ht="15" x14ac:dyDescent="0.35">
      <c r="B6" s="1"/>
      <c r="C6" s="1"/>
      <c r="D6" s="1"/>
      <c r="E6" s="1"/>
      <c r="F6" s="1"/>
      <c r="G6" s="77"/>
      <c r="H6" s="1"/>
      <c r="J6" s="78"/>
    </row>
    <row r="7" spans="2:15" ht="15" x14ac:dyDescent="0.35">
      <c r="B7" s="1" t="s">
        <v>113</v>
      </c>
      <c r="C7" s="1"/>
      <c r="D7" s="79">
        <v>5</v>
      </c>
      <c r="E7" s="1" t="s">
        <v>114</v>
      </c>
      <c r="F7" s="1"/>
      <c r="G7" s="77">
        <f>(D4-G5)</f>
        <v>48000</v>
      </c>
      <c r="H7" s="77"/>
      <c r="I7" s="1"/>
      <c r="J7" s="78"/>
    </row>
    <row r="8" spans="2:15" ht="15" x14ac:dyDescent="0.35">
      <c r="B8" s="1"/>
      <c r="C8" s="1"/>
      <c r="D8" s="1"/>
      <c r="E8" s="1"/>
      <c r="F8" s="1"/>
      <c r="G8" s="1"/>
      <c r="H8" s="77"/>
      <c r="I8" s="1"/>
      <c r="J8" s="80"/>
    </row>
    <row r="9" spans="2:15" ht="15.45" x14ac:dyDescent="0.4">
      <c r="B9" s="1" t="s">
        <v>115</v>
      </c>
      <c r="C9" s="1"/>
      <c r="D9" s="75">
        <v>5</v>
      </c>
      <c r="E9" s="1" t="s">
        <v>116</v>
      </c>
      <c r="F9" s="1"/>
      <c r="G9" s="77">
        <f>+M15</f>
        <v>7433.9400000000005</v>
      </c>
      <c r="H9" s="81"/>
      <c r="I9" s="1"/>
      <c r="J9" s="82"/>
    </row>
    <row r="10" spans="2:15" ht="15.45" x14ac:dyDescent="0.4">
      <c r="B10" s="1"/>
      <c r="C10" s="1"/>
      <c r="D10" s="83"/>
      <c r="H10" s="81"/>
      <c r="I10" s="1"/>
      <c r="J10" s="82"/>
    </row>
    <row r="11" spans="2:15" ht="15.45" x14ac:dyDescent="0.4">
      <c r="B11" s="1"/>
      <c r="C11" s="1"/>
      <c r="D11" s="1"/>
      <c r="E11" s="2" t="s">
        <v>117</v>
      </c>
      <c r="G11" s="84">
        <f>G17/12</f>
        <v>923.8991666666667</v>
      </c>
      <c r="H11" s="1"/>
      <c r="I11" s="1"/>
      <c r="M11" t="s">
        <v>118</v>
      </c>
    </row>
    <row r="12" spans="2:15" ht="15.45" x14ac:dyDescent="0.4">
      <c r="B12" s="1"/>
      <c r="C12" s="1"/>
      <c r="D12" s="1"/>
      <c r="E12" s="2" t="s">
        <v>119</v>
      </c>
      <c r="F12" s="1"/>
      <c r="G12" s="84">
        <f>G17</f>
        <v>11086.79</v>
      </c>
      <c r="H12" s="1"/>
      <c r="I12" s="1"/>
      <c r="M12" s="70" t="s">
        <v>120</v>
      </c>
      <c r="N12" s="70" t="s">
        <v>121</v>
      </c>
    </row>
    <row r="13" spans="2:15" ht="15" x14ac:dyDescent="0.35">
      <c r="B13" s="1"/>
      <c r="C13" s="1"/>
      <c r="D13" s="1"/>
      <c r="E13" s="1" t="s">
        <v>122</v>
      </c>
      <c r="F13" s="1"/>
      <c r="G13" s="1"/>
      <c r="H13" s="1"/>
      <c r="I13" s="1"/>
      <c r="M13" s="70"/>
      <c r="N13" s="70"/>
    </row>
    <row r="14" spans="2:15" ht="15.45" x14ac:dyDescent="0.4">
      <c r="B14" s="1"/>
      <c r="C14" s="76" t="s">
        <v>123</v>
      </c>
      <c r="D14" s="1"/>
      <c r="E14" s="76"/>
      <c r="F14" s="76"/>
      <c r="G14" s="85" t="s">
        <v>124</v>
      </c>
      <c r="H14" s="76"/>
      <c r="I14" s="76" t="s">
        <v>125</v>
      </c>
      <c r="J14" s="1"/>
      <c r="M14" s="70" t="s">
        <v>126</v>
      </c>
      <c r="N14" s="70" t="s">
        <v>126</v>
      </c>
    </row>
    <row r="15" spans="2:15" ht="15.45" x14ac:dyDescent="0.4">
      <c r="B15" s="1" t="s">
        <v>127</v>
      </c>
      <c r="C15" s="86">
        <v>2019</v>
      </c>
      <c r="D15" s="1"/>
      <c r="E15" s="76" t="s">
        <v>120</v>
      </c>
      <c r="F15" s="76" t="s">
        <v>125</v>
      </c>
      <c r="G15" s="85" t="s">
        <v>128</v>
      </c>
      <c r="H15" s="76"/>
      <c r="I15" s="76" t="s">
        <v>129</v>
      </c>
      <c r="J15" s="76"/>
      <c r="M15" s="87">
        <f>SUM(E17:E26)</f>
        <v>7433.9400000000005</v>
      </c>
      <c r="N15" s="87">
        <f>SUM(F17:F26)</f>
        <v>48000.01</v>
      </c>
    </row>
    <row r="16" spans="2:15" ht="15.45" x14ac:dyDescent="0.4">
      <c r="B16" s="1"/>
      <c r="C16" s="1"/>
      <c r="D16" s="1"/>
      <c r="E16" s="1"/>
      <c r="F16" s="1"/>
      <c r="G16" s="2"/>
      <c r="H16" s="1"/>
      <c r="I16" s="1"/>
      <c r="M16" s="3" t="s">
        <v>130</v>
      </c>
      <c r="N16" s="3"/>
      <c r="O16" s="88">
        <f>G7-F29</f>
        <v>-1.0000000002037268E-2</v>
      </c>
    </row>
    <row r="17" spans="2:14" ht="15.45" x14ac:dyDescent="0.4">
      <c r="B17" s="1"/>
      <c r="C17" s="1">
        <f>C15</f>
        <v>2019</v>
      </c>
      <c r="D17" s="1">
        <v>1</v>
      </c>
      <c r="E17" s="89">
        <f t="shared" ref="E17:E25" si="0">IF(D$7&gt;=+D17,ROUND(IPMT(D$9*0.01,+D17,D$7,-(((1-D$5*0.01)*D$4))),2),0)</f>
        <v>2400</v>
      </c>
      <c r="F17" s="89">
        <f t="shared" ref="F17:F25" si="1">IF(D$7&gt;=+D17,ROUND(PPMT(D$9*0.01,+D17,D$7,-(((1-D$5*0.01)*D$4))),2),0)</f>
        <v>8686.7900000000009</v>
      </c>
      <c r="G17" s="90">
        <f t="shared" ref="G17:G25" si="2">E17+F17</f>
        <v>11086.79</v>
      </c>
      <c r="H17" s="89"/>
      <c r="I17" s="91">
        <f>(G7-F17)</f>
        <v>39313.21</v>
      </c>
      <c r="J17" s="77"/>
    </row>
    <row r="18" spans="2:14" ht="15.45" x14ac:dyDescent="0.4">
      <c r="B18" s="1"/>
      <c r="C18" s="1">
        <f t="shared" ref="C18:C26" si="3">C17+1</f>
        <v>2020</v>
      </c>
      <c r="D18" s="1">
        <v>2</v>
      </c>
      <c r="E18" s="89">
        <f t="shared" si="0"/>
        <v>1965.66</v>
      </c>
      <c r="F18" s="89">
        <f t="shared" si="1"/>
        <v>9121.1299999999992</v>
      </c>
      <c r="G18" s="90">
        <f t="shared" si="2"/>
        <v>11086.789999999999</v>
      </c>
      <c r="H18" s="89"/>
      <c r="I18" s="91">
        <f>(I17-F18)</f>
        <v>30192.080000000002</v>
      </c>
      <c r="J18" s="77"/>
      <c r="M18" s="87"/>
      <c r="N18" s="87"/>
    </row>
    <row r="19" spans="2:14" ht="15.45" x14ac:dyDescent="0.4">
      <c r="B19" s="1"/>
      <c r="C19" s="1">
        <f t="shared" si="3"/>
        <v>2021</v>
      </c>
      <c r="D19" s="1">
        <v>3</v>
      </c>
      <c r="E19" s="89">
        <f t="shared" si="0"/>
        <v>1509.6</v>
      </c>
      <c r="F19" s="89">
        <f t="shared" si="1"/>
        <v>9577.19</v>
      </c>
      <c r="G19" s="90">
        <f t="shared" si="2"/>
        <v>11086.79</v>
      </c>
      <c r="H19" s="89"/>
      <c r="I19" s="91">
        <f t="shared" ref="I19:I26" si="4">(I18-F19)</f>
        <v>20614.89</v>
      </c>
      <c r="J19" s="77"/>
    </row>
    <row r="20" spans="2:14" ht="15.45" x14ac:dyDescent="0.4">
      <c r="B20" s="1"/>
      <c r="C20" s="1">
        <f t="shared" si="3"/>
        <v>2022</v>
      </c>
      <c r="D20" s="1">
        <v>4</v>
      </c>
      <c r="E20" s="89">
        <f t="shared" si="0"/>
        <v>1030.74</v>
      </c>
      <c r="F20" s="89">
        <f t="shared" si="1"/>
        <v>10056.049999999999</v>
      </c>
      <c r="G20" s="90">
        <f t="shared" si="2"/>
        <v>11086.789999999999</v>
      </c>
      <c r="H20" s="89"/>
      <c r="I20" s="91">
        <f t="shared" si="4"/>
        <v>10558.84</v>
      </c>
      <c r="J20" s="77"/>
    </row>
    <row r="21" spans="2:14" ht="15.45" x14ac:dyDescent="0.4">
      <c r="B21" s="1"/>
      <c r="C21" s="1">
        <f t="shared" si="3"/>
        <v>2023</v>
      </c>
      <c r="D21" s="1">
        <v>5</v>
      </c>
      <c r="E21" s="89">
        <f t="shared" si="0"/>
        <v>527.94000000000005</v>
      </c>
      <c r="F21" s="89">
        <f t="shared" si="1"/>
        <v>10558.85</v>
      </c>
      <c r="G21" s="90">
        <f t="shared" si="2"/>
        <v>11086.79</v>
      </c>
      <c r="H21" s="89"/>
      <c r="I21" s="91">
        <f t="shared" si="4"/>
        <v>-1.0000000000218279E-2</v>
      </c>
      <c r="J21" s="77"/>
    </row>
    <row r="22" spans="2:14" ht="15.45" x14ac:dyDescent="0.4">
      <c r="B22" s="1"/>
      <c r="C22" s="1">
        <f t="shared" si="3"/>
        <v>2024</v>
      </c>
      <c r="D22" s="1">
        <v>6</v>
      </c>
      <c r="E22" s="89">
        <f t="shared" si="0"/>
        <v>0</v>
      </c>
      <c r="F22" s="89">
        <f t="shared" si="1"/>
        <v>0</v>
      </c>
      <c r="G22" s="90">
        <f t="shared" si="2"/>
        <v>0</v>
      </c>
      <c r="H22" s="89"/>
      <c r="I22" s="91">
        <f t="shared" si="4"/>
        <v>-1.0000000000218279E-2</v>
      </c>
      <c r="J22" s="77"/>
      <c r="M22" s="35"/>
      <c r="N22" s="35"/>
    </row>
    <row r="23" spans="2:14" ht="15.45" x14ac:dyDescent="0.4">
      <c r="B23" s="1"/>
      <c r="C23" s="1">
        <f t="shared" si="3"/>
        <v>2025</v>
      </c>
      <c r="D23" s="1">
        <v>7</v>
      </c>
      <c r="E23" s="89">
        <f t="shared" si="0"/>
        <v>0</v>
      </c>
      <c r="F23" s="89">
        <f t="shared" si="1"/>
        <v>0</v>
      </c>
      <c r="G23" s="90">
        <f t="shared" si="2"/>
        <v>0</v>
      </c>
      <c r="H23" s="89"/>
      <c r="I23" s="91">
        <f t="shared" si="4"/>
        <v>-1.0000000000218279E-2</v>
      </c>
      <c r="J23" s="77"/>
      <c r="M23" s="35"/>
      <c r="N23" s="35"/>
    </row>
    <row r="24" spans="2:14" ht="15.45" x14ac:dyDescent="0.4">
      <c r="B24" s="1"/>
      <c r="C24" s="1">
        <f t="shared" si="3"/>
        <v>2026</v>
      </c>
      <c r="D24" s="1">
        <v>8</v>
      </c>
      <c r="E24" s="89">
        <f t="shared" si="0"/>
        <v>0</v>
      </c>
      <c r="F24" s="89">
        <f t="shared" si="1"/>
        <v>0</v>
      </c>
      <c r="G24" s="90">
        <f t="shared" si="2"/>
        <v>0</v>
      </c>
      <c r="H24" s="89"/>
      <c r="I24" s="91">
        <f t="shared" si="4"/>
        <v>-1.0000000000218279E-2</v>
      </c>
      <c r="J24" s="77"/>
      <c r="M24" s="92"/>
      <c r="N24" s="92"/>
    </row>
    <row r="25" spans="2:14" ht="15.45" x14ac:dyDescent="0.4">
      <c r="B25" s="1"/>
      <c r="C25" s="1">
        <f t="shared" si="3"/>
        <v>2027</v>
      </c>
      <c r="D25" s="1">
        <v>9</v>
      </c>
      <c r="E25" s="89">
        <f t="shared" si="0"/>
        <v>0</v>
      </c>
      <c r="F25" s="89">
        <f t="shared" si="1"/>
        <v>0</v>
      </c>
      <c r="G25" s="90">
        <f t="shared" si="2"/>
        <v>0</v>
      </c>
      <c r="H25" s="89"/>
      <c r="I25" s="91">
        <f t="shared" si="4"/>
        <v>-1.0000000000218279E-2</v>
      </c>
      <c r="J25" s="77"/>
      <c r="M25" s="93"/>
      <c r="N25" s="93"/>
    </row>
    <row r="26" spans="2:14" ht="15.45" x14ac:dyDescent="0.4">
      <c r="B26" s="1"/>
      <c r="C26" s="1">
        <f t="shared" si="3"/>
        <v>2028</v>
      </c>
      <c r="D26" s="1">
        <v>10</v>
      </c>
      <c r="E26" s="89">
        <f>IF(D$7&gt;=+D26,ROUND(IPMT(D$9*0.01,+D26,D$7,-(((1-D$5*0.01)*D$4))),2),0)</f>
        <v>0</v>
      </c>
      <c r="F26" s="89">
        <f>IF(D$7&gt;=+D26,ROUND(PPMT(D$9*0.01,+D26,D$7,-(((1-D$5*0.01)*D$4))),2),0)</f>
        <v>0</v>
      </c>
      <c r="G26" s="90">
        <f>E26+F26</f>
        <v>0</v>
      </c>
      <c r="H26" s="89"/>
      <c r="I26" s="91">
        <f t="shared" si="4"/>
        <v>-1.0000000000218279E-2</v>
      </c>
      <c r="J26" s="77"/>
    </row>
    <row r="27" spans="2:14" ht="15.45" x14ac:dyDescent="0.4">
      <c r="B27" s="1"/>
      <c r="C27" s="1"/>
      <c r="D27" s="1"/>
      <c r="E27" s="89"/>
      <c r="F27" s="89"/>
      <c r="G27" s="90"/>
      <c r="H27" s="89"/>
      <c r="I27" s="91"/>
      <c r="J27" s="77"/>
      <c r="M27" s="87"/>
      <c r="N27" s="87"/>
    </row>
    <row r="28" spans="2:14" ht="15.45" x14ac:dyDescent="0.4">
      <c r="B28" s="1"/>
      <c r="C28" s="1"/>
      <c r="D28" s="1"/>
      <c r="E28" s="1"/>
      <c r="F28" s="1"/>
      <c r="G28" s="2"/>
      <c r="H28" s="1"/>
      <c r="I28" s="93"/>
      <c r="J28" s="92"/>
      <c r="K28" s="92"/>
    </row>
    <row r="29" spans="2:14" ht="15.45" x14ac:dyDescent="0.4">
      <c r="B29" s="1"/>
      <c r="C29" s="2" t="s">
        <v>124</v>
      </c>
      <c r="D29" s="2"/>
      <c r="E29" s="84">
        <f>SUM(E17:E26)</f>
        <v>7433.9400000000005</v>
      </c>
      <c r="F29" s="84">
        <f>SUM(F17:F26)</f>
        <v>48000.01</v>
      </c>
      <c r="G29" s="84">
        <f>SUM(G17:G26)</f>
        <v>55433.950000000004</v>
      </c>
      <c r="H29" s="77"/>
      <c r="I29" s="93"/>
      <c r="J29" s="92"/>
      <c r="K29" s="92"/>
    </row>
  </sheetData>
  <sheetProtection sheet="1" objects="1" scenarios="1"/>
  <mergeCells count="1">
    <mergeCell ref="B1:I1"/>
  </mergeCells>
  <pageMargins left="0.95" right="0.45" top="0.75" bottom="0.75" header="0.3" footer="0.3"/>
  <pageSetup scale="90" orientation="portrait" horizontalDpi="4294967295" verticalDpi="4294967295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Owned Pickup&amp;TrailerCost</vt:lpstr>
      <vt:lpstr>2. Contract Freight Cost</vt:lpstr>
      <vt:lpstr>3. Loan Payment Schedule</vt:lpstr>
      <vt:lpstr>'1. Owned Pickup&amp;TrailerCost'!Print_Area</vt:lpstr>
      <vt:lpstr>'2. Contract Freight Cost'!Print_Area</vt:lpstr>
      <vt:lpstr>'3. Loan Payment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2020-01-02T02:03:03Z</cp:lastPrinted>
  <dcterms:created xsi:type="dcterms:W3CDTF">2004-03-18T15:16:20Z</dcterms:created>
  <dcterms:modified xsi:type="dcterms:W3CDTF">2020-01-27T15:02:32Z</dcterms:modified>
</cp:coreProperties>
</file>