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TAMU Additions 1-27-2020\J. Vehicle Additions 1-27-2020\"/>
    </mc:Choice>
  </mc:AlternateContent>
  <xr:revisionPtr revIDLastSave="0" documentId="13_ncr:1_{7292F6A3-FBA7-405A-B33B-4B971CEA20AB}" xr6:coauthVersionLast="45" xr6:coauthVersionMax="45" xr10:uidLastSave="{00000000-0000-0000-0000-000000000000}"/>
  <bookViews>
    <workbookView xWindow="-103" yWindow="-103" windowWidth="16663" windowHeight="8863" activeTab="1" xr2:uid="{00000000-000D-0000-FFFF-FFFF00000000}"/>
  </bookViews>
  <sheets>
    <sheet name="1. Vehicle Cost Calculator" sheetId="3" r:id="rId1"/>
    <sheet name="2. Loan Payment Schedule" sheetId="4" r:id="rId2"/>
  </sheets>
  <definedNames>
    <definedName name="_xlnm.Print_Area" localSheetId="0">'1. Vehicle Cost Calculator'!$B$1:$E$62</definedName>
    <definedName name="_xlnm.Print_Area" localSheetId="1">'2. Loan Payment Schedule'!$B$1:$I$29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4" l="1"/>
  <c r="E26" i="4"/>
  <c r="F25" i="4"/>
  <c r="E25" i="4"/>
  <c r="F24" i="4"/>
  <c r="E24" i="4"/>
  <c r="F23" i="4"/>
  <c r="E23" i="4"/>
  <c r="F22" i="4"/>
  <c r="E22" i="4"/>
  <c r="F21" i="4"/>
  <c r="E21" i="4"/>
  <c r="F20" i="4"/>
  <c r="G20" i="4" s="1"/>
  <c r="E20" i="4"/>
  <c r="F19" i="4"/>
  <c r="E19" i="4"/>
  <c r="F18" i="4"/>
  <c r="E18" i="4"/>
  <c r="F17" i="4"/>
  <c r="E17" i="4"/>
  <c r="C17" i="4"/>
  <c r="C18" i="4" s="1"/>
  <c r="C19" i="4" s="1"/>
  <c r="C20" i="4" s="1"/>
  <c r="C21" i="4" s="1"/>
  <c r="C22" i="4" s="1"/>
  <c r="C23" i="4" s="1"/>
  <c r="C24" i="4" s="1"/>
  <c r="C25" i="4" s="1"/>
  <c r="C26" i="4" s="1"/>
  <c r="G5" i="4"/>
  <c r="G7" i="4" s="1"/>
  <c r="G19" i="4" l="1"/>
  <c r="G23" i="4"/>
  <c r="G25" i="4"/>
  <c r="G18" i="4"/>
  <c r="G22" i="4"/>
  <c r="G26" i="4"/>
  <c r="I17" i="4"/>
  <c r="I18" i="4" s="1"/>
  <c r="I19" i="4" s="1"/>
  <c r="I20" i="4" s="1"/>
  <c r="I21" i="4" s="1"/>
  <c r="I22" i="4" s="1"/>
  <c r="I23" i="4" s="1"/>
  <c r="I24" i="4" s="1"/>
  <c r="I25" i="4" s="1"/>
  <c r="I26" i="4" s="1"/>
  <c r="G17" i="4"/>
  <c r="G12" i="4" s="1"/>
  <c r="F28" i="4"/>
  <c r="O16" i="4" s="1"/>
  <c r="M15" i="4"/>
  <c r="G9" i="4" s="1"/>
  <c r="G21" i="4"/>
  <c r="G24" i="4"/>
  <c r="G28" i="4" s="1"/>
  <c r="N15" i="4"/>
  <c r="E28" i="4"/>
  <c r="G11" i="4" l="1"/>
  <c r="E26" i="3"/>
  <c r="E27" i="3"/>
  <c r="E28" i="3"/>
  <c r="E33" i="3"/>
  <c r="E34" i="3"/>
  <c r="E35" i="3"/>
  <c r="E36" i="3"/>
  <c r="E30" i="3" l="1"/>
  <c r="E31" i="3" s="1"/>
  <c r="E38" i="3"/>
  <c r="E39" i="3" s="1"/>
  <c r="E58" i="3" l="1"/>
  <c r="E59" i="3"/>
  <c r="E45" i="3"/>
  <c r="E44" i="3" s="1"/>
  <c r="E62" i="3" s="1"/>
  <c r="E41" i="3"/>
  <c r="E42" i="3"/>
  <c r="E60" i="3" l="1"/>
</calcChain>
</file>

<file path=xl/sharedStrings.xml><?xml version="1.0" encoding="utf-8"?>
<sst xmlns="http://schemas.openxmlformats.org/spreadsheetml/2006/main" count="143" uniqueCount="94">
  <si>
    <t/>
  </si>
  <si>
    <t>Units</t>
  </si>
  <si>
    <t>-</t>
  </si>
  <si>
    <t xml:space="preserve"> -----------</t>
  </si>
  <si>
    <t>Current Value</t>
  </si>
  <si>
    <t>$</t>
  </si>
  <si>
    <t>Total Miles Used (useful life)</t>
  </si>
  <si>
    <t>Mile</t>
  </si>
  <si>
    <t>Current Mileage</t>
  </si>
  <si>
    <t>Annual Miles of Use</t>
  </si>
  <si>
    <t>Fuel Use (miles per gallon)</t>
  </si>
  <si>
    <t>Gal.</t>
  </si>
  <si>
    <t>Cost of Fuel</t>
  </si>
  <si>
    <t>$/Gal.</t>
  </si>
  <si>
    <t>Interest Rate on Capital</t>
  </si>
  <si>
    <t>%</t>
  </si>
  <si>
    <t>Monthly Loan Payments (if made)</t>
  </si>
  <si>
    <t>Annual License &amp; Tax</t>
  </si>
  <si>
    <t>Tire Cost (per set)</t>
  </si>
  <si>
    <t>Tire Life in Miles</t>
  </si>
  <si>
    <t>=</t>
  </si>
  <si>
    <t xml:space="preserve"> </t>
  </si>
  <si>
    <t>Costs</t>
  </si>
  <si>
    <t>Operating or Variable Cost</t>
  </si>
  <si>
    <t xml:space="preserve">    Fuel</t>
  </si>
  <si>
    <t xml:space="preserve">    Tires</t>
  </si>
  <si>
    <t xml:space="preserve">    Repair &amp; Maintenance</t>
  </si>
  <si>
    <t>Fixed Costs</t>
  </si>
  <si>
    <t xml:space="preserve">   License / Tax</t>
  </si>
  <si>
    <t xml:space="preserve">   Insurance</t>
  </si>
  <si>
    <t xml:space="preserve">   Interest (non-cash)</t>
  </si>
  <si>
    <t xml:space="preserve">   Depreciation</t>
  </si>
  <si>
    <t>Total Fixed Cost</t>
  </si>
  <si>
    <t>Total Annual Fixed Cost</t>
  </si>
  <si>
    <t>Total Cost per Mile</t>
  </si>
  <si>
    <t>Total Annual Cost</t>
  </si>
  <si>
    <t>Total Cash Costs per Mile *</t>
  </si>
  <si>
    <t>*Includes loan payment if being made.</t>
  </si>
  <si>
    <t>Total Miles Traveled for Trip</t>
  </si>
  <si>
    <t>Miles</t>
  </si>
  <si>
    <t>Total Variable Cost</t>
  </si>
  <si>
    <t>Total Cost</t>
  </si>
  <si>
    <t xml:space="preserve"> -------</t>
  </si>
  <si>
    <t xml:space="preserve"> -----------------</t>
  </si>
  <si>
    <t xml:space="preserve"> ------------------</t>
  </si>
  <si>
    <t>Annual Repair &amp; Maintenance Cost</t>
  </si>
  <si>
    <t>$/Mi.</t>
  </si>
  <si>
    <t>Input Data</t>
  </si>
  <si>
    <t>Per Mile and Annual Costs</t>
  </si>
  <si>
    <t>Cost Components</t>
  </si>
  <si>
    <t>Per Trip</t>
  </si>
  <si>
    <t>Vehicle Cost Analysis</t>
  </si>
  <si>
    <t xml:space="preserve">                 Name:</t>
  </si>
  <si>
    <t>Salvage Value (trade or junk value)</t>
  </si>
  <si>
    <t>Annual Insurance</t>
  </si>
  <si>
    <t>Total Operating  or Variable Cost</t>
  </si>
  <si>
    <t>Annual Operating or Variable Cost</t>
  </si>
  <si>
    <t>Calculated  Cost for a Trip</t>
  </si>
  <si>
    <t>Days in Hotel</t>
  </si>
  <si>
    <t>Other Costs</t>
  </si>
  <si>
    <t>$/Night</t>
  </si>
  <si>
    <t>Nights</t>
  </si>
  <si>
    <t>Food and Drinks - Total</t>
  </si>
  <si>
    <t>Motel  Cost per Night</t>
  </si>
  <si>
    <t>Total Cash Cost of Trip*</t>
  </si>
  <si>
    <t>Vehicle Values</t>
  </si>
  <si>
    <t>Total Annual Cash Costs *</t>
  </si>
  <si>
    <t>Trip Value</t>
  </si>
  <si>
    <t xml:space="preserve"> -------------------------</t>
  </si>
  <si>
    <t>Term Loan Payment Schedule</t>
  </si>
  <si>
    <t>Total Investment</t>
  </si>
  <si>
    <t>Equity In Total Investment (%)</t>
  </si>
  <si>
    <t xml:space="preserve">                              Down Payment of</t>
  </si>
  <si>
    <t>Length of Note (Years)</t>
  </si>
  <si>
    <t xml:space="preserve">         Total Initial Loan</t>
  </si>
  <si>
    <t>Interest Rate (%)</t>
  </si>
  <si>
    <t xml:space="preserve">         Total Interest Cost</t>
  </si>
  <si>
    <t>Payment/Month</t>
  </si>
  <si>
    <t>Total  Check on Equations</t>
  </si>
  <si>
    <t>Payment/Per Year</t>
  </si>
  <si>
    <t>Interest</t>
  </si>
  <si>
    <t xml:space="preserve"> Principal</t>
  </si>
  <si>
    <t>Annual Debt Service Requirement</t>
  </si>
  <si>
    <t>Year</t>
  </si>
  <si>
    <t>Total</t>
  </si>
  <si>
    <t>Principal</t>
  </si>
  <si>
    <t>Payments</t>
  </si>
  <si>
    <t>Initial Year of Loan</t>
  </si>
  <si>
    <t>Payment</t>
  </si>
  <si>
    <t xml:space="preserve">    Balance</t>
  </si>
  <si>
    <t>Remaining Balance</t>
  </si>
  <si>
    <t>Enter in cell E15 in Sheet 1.</t>
  </si>
  <si>
    <t>See sheet 2 for loan payment calculator.</t>
  </si>
  <si>
    <t>New Ford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</si>
</sst>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0_);\(&quot;$&quot;#,##0.000\)"/>
    <numFmt numFmtId="165" formatCode="#,##0.0"/>
    <numFmt numFmtId="166" formatCode="&quot;$&quot;#,##0"/>
    <numFmt numFmtId="167" formatCode="&quot;$&quot;#,##0.00"/>
    <numFmt numFmtId="168" formatCode="[$$-409]#,##0"/>
    <numFmt numFmtId="169" formatCode="0.00_)"/>
    <numFmt numFmtId="170" formatCode="0_)"/>
  </numFmts>
  <fonts count="15">
    <font>
      <sz val="12"/>
      <name val="Arial"/>
    </font>
    <font>
      <sz val="12"/>
      <name val="Arial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</font>
    <font>
      <sz val="12"/>
      <name val="Arial"/>
      <family val="2"/>
    </font>
    <font>
      <sz val="12"/>
      <color indexed="39"/>
      <name val="Arial"/>
    </font>
    <font>
      <b/>
      <sz val="14"/>
      <name val="Arial"/>
      <family val="2"/>
    </font>
    <font>
      <sz val="10"/>
      <name val="Times New Roman"/>
      <family val="1"/>
    </font>
    <font>
      <sz val="12"/>
      <color indexed="3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2" fontId="1" fillId="2" borderId="0"/>
    <xf numFmtId="0" fontId="1" fillId="2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2" fontId="1" fillId="0" borderId="0" xfId="1" applyNumberFormat="1" applyFill="1" applyProtection="1"/>
    <xf numFmtId="2" fontId="1" fillId="0" borderId="0" xfId="1" applyNumberFormat="1" applyFill="1" applyAlignment="1" applyProtection="1">
      <alignment horizontal="right"/>
    </xf>
    <xf numFmtId="2" fontId="1" fillId="0" borderId="0" xfId="1" applyNumberFormat="1" applyFill="1" applyAlignment="1" applyProtection="1">
      <alignment horizontal="center"/>
    </xf>
    <xf numFmtId="2" fontId="1" fillId="0" borderId="0" xfId="1" applyNumberFormat="1" applyFill="1" applyAlignment="1" applyProtection="1">
      <alignment horizontal="fill"/>
    </xf>
    <xf numFmtId="2" fontId="1" fillId="0" borderId="0" xfId="1" applyNumberFormat="1" applyFont="1" applyFill="1" applyAlignment="1" applyProtection="1">
      <alignment horizontal="center"/>
    </xf>
    <xf numFmtId="2" fontId="1" fillId="0" borderId="0" xfId="1" applyNumberFormat="1" applyFont="1" applyFill="1" applyProtection="1"/>
    <xf numFmtId="164" fontId="1" fillId="0" borderId="0" xfId="1" applyNumberFormat="1" applyFill="1" applyProtection="1"/>
    <xf numFmtId="7" fontId="1" fillId="0" borderId="0" xfId="1" applyNumberFormat="1" applyFill="1" applyProtection="1"/>
    <xf numFmtId="2" fontId="1" fillId="0" borderId="0" xfId="1" applyNumberFormat="1" applyFont="1" applyFill="1" applyAlignment="1" applyProtection="1">
      <alignment horizontal="right"/>
    </xf>
    <xf numFmtId="3" fontId="3" fillId="0" borderId="1" xfId="1" applyNumberFormat="1" applyFont="1" applyFill="1" applyBorder="1" applyProtection="1">
      <protection locked="0"/>
    </xf>
    <xf numFmtId="166" fontId="3" fillId="0" borderId="1" xfId="1" applyNumberFormat="1" applyFont="1" applyFill="1" applyBorder="1" applyProtection="1">
      <protection locked="0"/>
    </xf>
    <xf numFmtId="167" fontId="3" fillId="0" borderId="1" xfId="1" applyNumberFormat="1" applyFont="1" applyFill="1" applyBorder="1" applyProtection="1">
      <protection locked="0"/>
    </xf>
    <xf numFmtId="2" fontId="5" fillId="0" borderId="0" xfId="1" applyNumberFormat="1" applyFont="1" applyFill="1" applyAlignment="1" applyProtection="1">
      <alignment horizontal="center"/>
    </xf>
    <xf numFmtId="2" fontId="5" fillId="0" borderId="0" xfId="1" applyNumberFormat="1" applyFont="1" applyFill="1" applyProtection="1"/>
    <xf numFmtId="7" fontId="5" fillId="0" borderId="0" xfId="1" applyNumberFormat="1" applyFont="1" applyFill="1" applyProtection="1"/>
    <xf numFmtId="2" fontId="6" fillId="0" borderId="0" xfId="1" applyNumberFormat="1" applyFont="1" applyFill="1" applyProtection="1"/>
    <xf numFmtId="5" fontId="1" fillId="0" borderId="0" xfId="1" applyNumberFormat="1" applyFill="1" applyProtection="1"/>
    <xf numFmtId="2" fontId="7" fillId="0" borderId="0" xfId="1" applyNumberFormat="1" applyFont="1" applyFill="1" applyProtection="1"/>
    <xf numFmtId="165" fontId="3" fillId="0" borderId="1" xfId="1" applyNumberFormat="1" applyFont="1" applyFill="1" applyBorder="1" applyProtection="1">
      <protection locked="0"/>
    </xf>
    <xf numFmtId="0" fontId="1" fillId="0" borderId="0" xfId="2" applyNumberFormat="1" applyFill="1"/>
    <xf numFmtId="2" fontId="1" fillId="0" borderId="2" xfId="1" applyNumberFormat="1" applyFont="1" applyFill="1" applyBorder="1" applyProtection="1"/>
    <xf numFmtId="7" fontId="0" fillId="0" borderId="0" xfId="0" applyNumberFormat="1"/>
    <xf numFmtId="5" fontId="5" fillId="0" borderId="0" xfId="1" applyNumberFormat="1" applyFont="1" applyFill="1" applyProtection="1"/>
    <xf numFmtId="14" fontId="8" fillId="0" borderId="0" xfId="1" applyNumberFormat="1" applyFont="1" applyFill="1" applyProtection="1">
      <protection locked="0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Protection="1">
      <protection locked="0"/>
    </xf>
    <xf numFmtId="0" fontId="7" fillId="0" borderId="0" xfId="0" applyFont="1"/>
    <xf numFmtId="168" fontId="11" fillId="3" borderId="5" xfId="0" applyNumberFormat="1" applyFont="1" applyFill="1" applyBorder="1" applyProtection="1">
      <protection locked="0"/>
    </xf>
    <xf numFmtId="169" fontId="11" fillId="3" borderId="5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5" fontId="7" fillId="0" borderId="0" xfId="0" applyNumberFormat="1" applyFont="1"/>
    <xf numFmtId="166" fontId="11" fillId="0" borderId="0" xfId="0" applyNumberFormat="1" applyFont="1"/>
    <xf numFmtId="0" fontId="11" fillId="3" borderId="5" xfId="0" applyFont="1" applyFill="1" applyBorder="1" applyProtection="1">
      <protection locked="0"/>
    </xf>
    <xf numFmtId="166" fontId="7" fillId="0" borderId="0" xfId="0" applyNumberFormat="1" applyFont="1"/>
    <xf numFmtId="7" fontId="5" fillId="0" borderId="0" xfId="0" applyNumberFormat="1" applyFont="1"/>
    <xf numFmtId="166" fontId="5" fillId="0" borderId="0" xfId="0" applyNumberFormat="1" applyFont="1"/>
    <xf numFmtId="169" fontId="11" fillId="3" borderId="0" xfId="0" applyNumberFormat="1" applyFont="1" applyFill="1" applyProtection="1">
      <protection locked="0"/>
    </xf>
    <xf numFmtId="0" fontId="5" fillId="0" borderId="0" xfId="0" applyFont="1"/>
    <xf numFmtId="5" fontId="5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0" fontId="11" fillId="3" borderId="5" xfId="0" applyNumberFormat="1" applyFont="1" applyFill="1" applyBorder="1" applyProtection="1">
      <protection locked="0"/>
    </xf>
    <xf numFmtId="5" fontId="0" fillId="0" borderId="0" xfId="0" applyNumberFormat="1"/>
    <xf numFmtId="0" fontId="12" fillId="0" borderId="0" xfId="0" applyFont="1"/>
    <xf numFmtId="5" fontId="12" fillId="0" borderId="0" xfId="0" applyNumberFormat="1" applyFont="1"/>
    <xf numFmtId="5" fontId="13" fillId="3" borderId="0" xfId="0" applyNumberFormat="1" applyFont="1" applyFill="1"/>
    <xf numFmtId="5" fontId="14" fillId="3" borderId="0" xfId="0" applyNumberFormat="1" applyFont="1" applyFill="1"/>
    <xf numFmtId="168" fontId="7" fillId="0" borderId="0" xfId="3" applyNumberFormat="1" applyFont="1"/>
    <xf numFmtId="7" fontId="13" fillId="3" borderId="0" xfId="0" applyNumberFormat="1" applyFont="1" applyFill="1"/>
    <xf numFmtId="0" fontId="13" fillId="3" borderId="0" xfId="0" applyFont="1" applyFill="1"/>
    <xf numFmtId="2" fontId="2" fillId="0" borderId="0" xfId="1" applyNumberFormat="1" applyFont="1" applyFill="1" applyAlignment="1" applyProtection="1">
      <alignment horizontal="center"/>
    </xf>
    <xf numFmtId="2" fontId="3" fillId="0" borderId="3" xfId="1" applyNumberFormat="1" applyFont="1" applyFill="1" applyBorder="1" applyAlignment="1" applyProtection="1">
      <protection locked="0"/>
    </xf>
    <xf numFmtId="0" fontId="0" fillId="0" borderId="4" xfId="0" applyBorder="1" applyAlignment="1"/>
    <xf numFmtId="0" fontId="9" fillId="0" borderId="0" xfId="0" applyFont="1" applyAlignment="1">
      <alignment horizontal="center"/>
    </xf>
  </cellXfs>
  <cellStyles count="4">
    <cellStyle name="Currency" xfId="3" builtinId="4"/>
    <cellStyle name="Normal" xfId="0" builtinId="0"/>
    <cellStyle name="Normal_Pickup Analysis" xfId="1" xr:uid="{00000000-0005-0000-0000-000001000000}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76200</xdr:rowOff>
    </xdr:from>
    <xdr:to>
      <xdr:col>7</xdr:col>
      <xdr:colOff>342900</xdr:colOff>
      <xdr:row>5</xdr:row>
      <xdr:rowOff>5443</xdr:rowOff>
    </xdr:to>
    <xdr:pic>
      <xdr:nvPicPr>
        <xdr:cNvPr id="1032" name="Picture 2" descr="TAMAgEXT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2672" y="489857"/>
          <a:ext cx="1333499" cy="50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201386</xdr:colOff>
      <xdr:row>3</xdr:row>
      <xdr:rowOff>16328</xdr:rowOff>
    </xdr:from>
    <xdr:to>
      <xdr:col>10</xdr:col>
      <xdr:colOff>598715</xdr:colOff>
      <xdr:row>5</xdr:row>
      <xdr:rowOff>14513</xdr:rowOff>
    </xdr:to>
    <xdr:pic>
      <xdr:nvPicPr>
        <xdr:cNvPr id="2" name="Picture 2" descr="TAMAgEXT">
          <a:extLst>
            <a:ext uri="{FF2B5EF4-FFF2-40B4-BE49-F238E27FC236}">
              <a16:creationId xmlns:a16="http://schemas.microsoft.com/office/drawing/2014/main" id="{E6EF9969-220D-4024-BFC0-B3586E09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086" y="653142"/>
          <a:ext cx="1181100" cy="379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4"/>
  <sheetViews>
    <sheetView topLeftCell="A5" workbookViewId="0">
      <selection activeCell="E4" sqref="E4"/>
    </sheetView>
  </sheetViews>
  <sheetFormatPr defaultRowHeight="15"/>
  <cols>
    <col min="1" max="1" width="4.6875" customWidth="1"/>
    <col min="2" max="2" width="32.25" customWidth="1"/>
    <col min="4" max="4" width="5.3125" customWidth="1"/>
    <col min="5" max="5" width="16.0625" customWidth="1"/>
  </cols>
  <sheetData>
    <row r="1" spans="2:7" ht="17.600000000000001">
      <c r="B1" s="52" t="s">
        <v>51</v>
      </c>
      <c r="C1" s="52"/>
      <c r="D1" s="52"/>
      <c r="E1" s="52"/>
    </row>
    <row r="2" spans="2:7" ht="15" customHeight="1">
      <c r="B2" s="1"/>
      <c r="C2" s="1"/>
      <c r="D2" s="1"/>
      <c r="E2" s="18"/>
    </row>
    <row r="3" spans="2:7">
      <c r="B3" s="9" t="s">
        <v>52</v>
      </c>
      <c r="C3" s="53" t="s">
        <v>93</v>
      </c>
      <c r="D3" s="54"/>
      <c r="E3" s="24">
        <v>43857</v>
      </c>
    </row>
    <row r="4" spans="2:7">
      <c r="B4" s="1"/>
      <c r="C4" s="1"/>
      <c r="D4" s="1"/>
      <c r="E4" s="5"/>
    </row>
    <row r="5" spans="2:7">
      <c r="B5" s="5" t="s">
        <v>47</v>
      </c>
      <c r="C5" s="3" t="s">
        <v>1</v>
      </c>
      <c r="D5" s="1"/>
      <c r="E5" s="5" t="s">
        <v>65</v>
      </c>
    </row>
    <row r="6" spans="2:7">
      <c r="B6" s="4" t="s">
        <v>2</v>
      </c>
      <c r="C6" s="5" t="s">
        <v>42</v>
      </c>
      <c r="D6" s="1"/>
      <c r="E6" s="6" t="s">
        <v>44</v>
      </c>
    </row>
    <row r="7" spans="2:7">
      <c r="B7" s="1" t="s">
        <v>4</v>
      </c>
      <c r="C7" s="5" t="s">
        <v>5</v>
      </c>
      <c r="D7" s="1"/>
      <c r="E7" s="11">
        <v>45000</v>
      </c>
    </row>
    <row r="8" spans="2:7">
      <c r="B8" s="1" t="s">
        <v>6</v>
      </c>
      <c r="C8" s="3" t="s">
        <v>7</v>
      </c>
      <c r="D8" s="1"/>
      <c r="E8" s="10">
        <v>95000</v>
      </c>
    </row>
    <row r="9" spans="2:7">
      <c r="B9" s="1" t="s">
        <v>8</v>
      </c>
      <c r="C9" s="3" t="s">
        <v>7</v>
      </c>
      <c r="D9" s="1"/>
      <c r="E9" s="10">
        <v>0</v>
      </c>
    </row>
    <row r="10" spans="2:7">
      <c r="B10" s="6" t="s">
        <v>53</v>
      </c>
      <c r="C10" s="3" t="s">
        <v>5</v>
      </c>
      <c r="D10" s="1"/>
      <c r="E10" s="11">
        <v>2000</v>
      </c>
    </row>
    <row r="11" spans="2:7">
      <c r="B11" s="1" t="s">
        <v>9</v>
      </c>
      <c r="C11" s="3" t="s">
        <v>7</v>
      </c>
      <c r="D11" s="1"/>
      <c r="E11" s="10">
        <v>20000</v>
      </c>
    </row>
    <row r="12" spans="2:7">
      <c r="B12" s="1" t="s">
        <v>10</v>
      </c>
      <c r="C12" s="3" t="s">
        <v>11</v>
      </c>
      <c r="D12" s="1"/>
      <c r="E12" s="19">
        <v>15</v>
      </c>
    </row>
    <row r="13" spans="2:7">
      <c r="B13" s="1" t="s">
        <v>12</v>
      </c>
      <c r="C13" s="3" t="s">
        <v>13</v>
      </c>
      <c r="D13" s="1"/>
      <c r="E13" s="12">
        <v>2.2999999999999998</v>
      </c>
    </row>
    <row r="14" spans="2:7">
      <c r="B14" s="1" t="s">
        <v>14</v>
      </c>
      <c r="C14" s="3" t="s">
        <v>15</v>
      </c>
      <c r="D14" s="1"/>
      <c r="E14" s="19">
        <v>5</v>
      </c>
    </row>
    <row r="15" spans="2:7">
      <c r="B15" s="1" t="s">
        <v>16</v>
      </c>
      <c r="C15" s="3" t="s">
        <v>5</v>
      </c>
      <c r="D15" s="1"/>
      <c r="E15" s="11">
        <v>0</v>
      </c>
      <c r="G15" t="s">
        <v>92</v>
      </c>
    </row>
    <row r="16" spans="2:7">
      <c r="B16" s="1" t="s">
        <v>17</v>
      </c>
      <c r="C16" s="3" t="s">
        <v>5</v>
      </c>
      <c r="D16" s="1"/>
      <c r="E16" s="11">
        <v>100</v>
      </c>
    </row>
    <row r="17" spans="2:5">
      <c r="B17" s="1" t="s">
        <v>54</v>
      </c>
      <c r="C17" s="3" t="s">
        <v>5</v>
      </c>
      <c r="D17" s="1"/>
      <c r="E17" s="11">
        <v>800</v>
      </c>
    </row>
    <row r="18" spans="2:5">
      <c r="B18" s="1" t="s">
        <v>18</v>
      </c>
      <c r="C18" s="3" t="s">
        <v>5</v>
      </c>
      <c r="D18" s="1"/>
      <c r="E18" s="11">
        <v>1200</v>
      </c>
    </row>
    <row r="19" spans="2:5">
      <c r="B19" s="1" t="s">
        <v>19</v>
      </c>
      <c r="C19" s="3" t="s">
        <v>7</v>
      </c>
      <c r="D19" s="1"/>
      <c r="E19" s="10">
        <v>25000</v>
      </c>
    </row>
    <row r="20" spans="2:5">
      <c r="B20" s="6" t="s">
        <v>45</v>
      </c>
      <c r="C20" s="3" t="s">
        <v>5</v>
      </c>
      <c r="D20" s="1"/>
      <c r="E20" s="11">
        <v>800</v>
      </c>
    </row>
    <row r="21" spans="2:5">
      <c r="B21" s="4" t="s">
        <v>20</v>
      </c>
      <c r="C21" s="4"/>
      <c r="D21" s="4"/>
      <c r="E21" s="4"/>
    </row>
    <row r="22" spans="2:5" ht="17.600000000000001">
      <c r="B22" s="52" t="s">
        <v>48</v>
      </c>
      <c r="C22" s="52"/>
      <c r="D22" s="52"/>
      <c r="E22" s="52"/>
    </row>
    <row r="23" spans="2:5">
      <c r="B23" s="5" t="s">
        <v>22</v>
      </c>
      <c r="C23" s="3" t="s">
        <v>1</v>
      </c>
      <c r="D23" s="1"/>
      <c r="E23" s="5" t="s">
        <v>65</v>
      </c>
    </row>
    <row r="24" spans="2:5">
      <c r="B24" s="4" t="s">
        <v>2</v>
      </c>
      <c r="C24" s="5" t="s">
        <v>42</v>
      </c>
      <c r="D24" s="1"/>
      <c r="E24" s="6" t="s">
        <v>43</v>
      </c>
    </row>
    <row r="25" spans="2:5" ht="15.45">
      <c r="B25" s="14" t="s">
        <v>23</v>
      </c>
      <c r="C25" s="3"/>
      <c r="D25" s="1"/>
      <c r="E25" s="1"/>
    </row>
    <row r="26" spans="2:5">
      <c r="B26" s="1" t="s">
        <v>24</v>
      </c>
      <c r="C26" s="5" t="s">
        <v>46</v>
      </c>
      <c r="D26" s="1"/>
      <c r="E26" s="7">
        <f>IF(E12=0,0,E13/E12)</f>
        <v>0.15333333333333332</v>
      </c>
    </row>
    <row r="27" spans="2:5">
      <c r="B27" s="1" t="s">
        <v>25</v>
      </c>
      <c r="C27" s="5" t="s">
        <v>46</v>
      </c>
      <c r="D27" s="1"/>
      <c r="E27" s="7">
        <f>IF(E19=0,0,E18/E19)</f>
        <v>4.8000000000000001E-2</v>
      </c>
    </row>
    <row r="28" spans="2:5">
      <c r="B28" s="1" t="s">
        <v>26</v>
      </c>
      <c r="C28" s="5" t="s">
        <v>46</v>
      </c>
      <c r="D28" s="1"/>
      <c r="E28" s="7">
        <f>IF(E11=0,0,E20/E11)</f>
        <v>0.04</v>
      </c>
    </row>
    <row r="29" spans="2:5">
      <c r="B29" s="1"/>
      <c r="C29" s="3"/>
      <c r="D29" s="1"/>
      <c r="E29" s="2" t="s">
        <v>3</v>
      </c>
    </row>
    <row r="30" spans="2:5">
      <c r="B30" s="6" t="s">
        <v>55</v>
      </c>
      <c r="C30" s="5" t="s">
        <v>46</v>
      </c>
      <c r="D30" s="1"/>
      <c r="E30" s="8">
        <f>SUM(E26:E28)</f>
        <v>0.24133333333333332</v>
      </c>
    </row>
    <row r="31" spans="2:5">
      <c r="B31" s="6" t="s">
        <v>56</v>
      </c>
      <c r="C31" s="3" t="s">
        <v>5</v>
      </c>
      <c r="D31" s="1"/>
      <c r="E31" s="17">
        <f>(E30*E11)</f>
        <v>4826.6666666666661</v>
      </c>
    </row>
    <row r="32" spans="2:5" ht="15.45">
      <c r="B32" s="14" t="s">
        <v>27</v>
      </c>
      <c r="C32" s="3"/>
      <c r="D32" s="1"/>
      <c r="E32" s="1"/>
    </row>
    <row r="33" spans="2:5">
      <c r="B33" s="1" t="s">
        <v>28</v>
      </c>
      <c r="C33" s="5" t="s">
        <v>46</v>
      </c>
      <c r="D33" s="1"/>
      <c r="E33" s="7">
        <f>IF(E11=0,0,E16/E11)</f>
        <v>5.0000000000000001E-3</v>
      </c>
    </row>
    <row r="34" spans="2:5">
      <c r="B34" s="1" t="s">
        <v>29</v>
      </c>
      <c r="C34" s="5" t="s">
        <v>46</v>
      </c>
      <c r="D34" s="1"/>
      <c r="E34" s="7">
        <f>IF(E11=0,0,E17/E11)</f>
        <v>0.04</v>
      </c>
    </row>
    <row r="35" spans="2:5">
      <c r="B35" s="1" t="s">
        <v>30</v>
      </c>
      <c r="C35" s="5" t="s">
        <v>46</v>
      </c>
      <c r="D35" s="1"/>
      <c r="E35" s="7">
        <f>IF(E11=0,0,(E7-(((E7-E10)*(E11/(E8-E9))/2)))*E14*0.01/E11)</f>
        <v>0.10118421052631579</v>
      </c>
    </row>
    <row r="36" spans="2:5">
      <c r="B36" s="1" t="s">
        <v>31</v>
      </c>
      <c r="C36" s="5" t="s">
        <v>46</v>
      </c>
      <c r="D36" s="1"/>
      <c r="E36" s="7">
        <f>IF(E11=0,0,((E7-E10)*E11/(E8-E9))/E11)</f>
        <v>0.45263157894736844</v>
      </c>
    </row>
    <row r="37" spans="2:5">
      <c r="B37" s="1"/>
      <c r="C37" s="3"/>
      <c r="D37" s="1"/>
      <c r="E37" s="2" t="s">
        <v>3</v>
      </c>
    </row>
    <row r="38" spans="2:5">
      <c r="B38" s="1" t="s">
        <v>32</v>
      </c>
      <c r="C38" s="5" t="s">
        <v>46</v>
      </c>
      <c r="D38" s="1"/>
      <c r="E38" s="8">
        <f>SUM(E33:E36)</f>
        <v>0.5988157894736843</v>
      </c>
    </row>
    <row r="39" spans="2:5">
      <c r="B39" s="1" t="s">
        <v>33</v>
      </c>
      <c r="C39" s="3" t="s">
        <v>5</v>
      </c>
      <c r="D39" s="1"/>
      <c r="E39" s="17">
        <f>(E38*E11)</f>
        <v>11976.315789473687</v>
      </c>
    </row>
    <row r="40" spans="2:5">
      <c r="B40" s="1"/>
      <c r="C40" s="3"/>
      <c r="D40" s="1"/>
      <c r="E40" s="1"/>
    </row>
    <row r="41" spans="2:5" ht="15.45">
      <c r="B41" s="14" t="s">
        <v>34</v>
      </c>
      <c r="C41" s="13" t="s">
        <v>46</v>
      </c>
      <c r="D41" s="14"/>
      <c r="E41" s="15">
        <f>IF(E11=0,0,((E31+E39)/E11))</f>
        <v>0.84014912280701759</v>
      </c>
    </row>
    <row r="42" spans="2:5">
      <c r="B42" s="1" t="s">
        <v>35</v>
      </c>
      <c r="C42" s="3" t="s">
        <v>5</v>
      </c>
      <c r="D42" s="1"/>
      <c r="E42" s="17">
        <f>(E31+E39)</f>
        <v>16802.982456140351</v>
      </c>
    </row>
    <row r="43" spans="2:5">
      <c r="B43" s="4" t="s">
        <v>2</v>
      </c>
      <c r="C43" s="4"/>
      <c r="D43" s="4"/>
      <c r="E43" s="4"/>
    </row>
    <row r="44" spans="2:5">
      <c r="B44" s="1" t="s">
        <v>36</v>
      </c>
      <c r="C44" s="5" t="s">
        <v>46</v>
      </c>
      <c r="D44" s="1"/>
      <c r="E44" s="8">
        <f>IF(E11=0,0,E45/E11)</f>
        <v>0.28633333333333333</v>
      </c>
    </row>
    <row r="45" spans="2:5">
      <c r="B45" s="6" t="s">
        <v>66</v>
      </c>
      <c r="C45" s="3" t="s">
        <v>5</v>
      </c>
      <c r="D45" s="1"/>
      <c r="E45" s="17">
        <f>(E31+E15*12+E16+E17)</f>
        <v>5726.6666666666661</v>
      </c>
    </row>
    <row r="46" spans="2:5">
      <c r="B46" s="16" t="s">
        <v>37</v>
      </c>
      <c r="C46" s="1"/>
      <c r="D46" s="1"/>
      <c r="E46" s="1"/>
    </row>
    <row r="47" spans="2:5">
      <c r="B47" s="4" t="s">
        <v>20</v>
      </c>
      <c r="C47" s="4"/>
      <c r="D47" s="4"/>
      <c r="E47" s="4"/>
    </row>
    <row r="48" spans="2:5" ht="17.600000000000001">
      <c r="B48" s="52" t="s">
        <v>57</v>
      </c>
      <c r="C48" s="52"/>
      <c r="D48" s="52"/>
      <c r="E48" s="52"/>
    </row>
    <row r="49" spans="2:5">
      <c r="B49" s="5" t="s">
        <v>47</v>
      </c>
      <c r="C49" s="3" t="s">
        <v>1</v>
      </c>
      <c r="D49" s="1"/>
      <c r="E49" s="5" t="s">
        <v>67</v>
      </c>
    </row>
    <row r="50" spans="2:5">
      <c r="B50" s="4" t="s">
        <v>2</v>
      </c>
      <c r="C50" s="5" t="s">
        <v>42</v>
      </c>
      <c r="D50" s="1"/>
      <c r="E50" s="6" t="s">
        <v>68</v>
      </c>
    </row>
    <row r="51" spans="2:5">
      <c r="B51" s="1" t="s">
        <v>38</v>
      </c>
      <c r="C51" s="3" t="s">
        <v>39</v>
      </c>
      <c r="D51" s="1"/>
      <c r="E51" s="10">
        <v>100</v>
      </c>
    </row>
    <row r="52" spans="2:5">
      <c r="B52" s="6" t="s">
        <v>62</v>
      </c>
      <c r="C52" s="5" t="s">
        <v>5</v>
      </c>
      <c r="D52" s="1"/>
      <c r="E52" s="11">
        <v>30</v>
      </c>
    </row>
    <row r="53" spans="2:5">
      <c r="B53" s="6" t="s">
        <v>63</v>
      </c>
      <c r="C53" s="5" t="s">
        <v>60</v>
      </c>
      <c r="D53" s="1"/>
      <c r="E53" s="11">
        <v>120</v>
      </c>
    </row>
    <row r="54" spans="2:5">
      <c r="B54" s="6" t="s">
        <v>58</v>
      </c>
      <c r="C54" s="5" t="s">
        <v>61</v>
      </c>
      <c r="D54" s="1"/>
      <c r="E54" s="10">
        <v>1</v>
      </c>
    </row>
    <row r="55" spans="2:5">
      <c r="B55" s="6" t="s">
        <v>59</v>
      </c>
      <c r="C55" s="5" t="s">
        <v>5</v>
      </c>
      <c r="D55" s="1"/>
      <c r="E55" s="11">
        <v>0</v>
      </c>
    </row>
    <row r="56" spans="2:5">
      <c r="B56" s="5" t="s">
        <v>49</v>
      </c>
      <c r="C56" s="3" t="s">
        <v>1</v>
      </c>
      <c r="D56" s="1"/>
      <c r="E56" s="5" t="s">
        <v>50</v>
      </c>
    </row>
    <row r="57" spans="2:5">
      <c r="B57" s="4" t="s">
        <v>2</v>
      </c>
      <c r="C57" s="5" t="s">
        <v>42</v>
      </c>
      <c r="D57" s="1"/>
      <c r="E57" s="6" t="s">
        <v>68</v>
      </c>
    </row>
    <row r="58" spans="2:5">
      <c r="B58" s="1" t="s">
        <v>40</v>
      </c>
      <c r="C58" s="3" t="s">
        <v>5</v>
      </c>
      <c r="D58" s="1"/>
      <c r="E58" s="17">
        <f>(E51*E30+E52+E53*E54+E55)</f>
        <v>174.13333333333333</v>
      </c>
    </row>
    <row r="59" spans="2:5">
      <c r="B59" s="1" t="s">
        <v>32</v>
      </c>
      <c r="C59" s="3" t="s">
        <v>5</v>
      </c>
      <c r="D59" s="1"/>
      <c r="E59" s="17">
        <f>E51*E38</f>
        <v>59.881578947368432</v>
      </c>
    </row>
    <row r="60" spans="2:5" ht="15.45">
      <c r="B60" s="14" t="s">
        <v>41</v>
      </c>
      <c r="C60" s="13" t="s">
        <v>5</v>
      </c>
      <c r="D60" s="1"/>
      <c r="E60" s="23">
        <f>SUM(E58:E59)</f>
        <v>234.01491228070176</v>
      </c>
    </row>
    <row r="61" spans="2:5">
      <c r="B61" s="1" t="s">
        <v>21</v>
      </c>
      <c r="C61" s="3"/>
      <c r="D61" s="1"/>
      <c r="E61" s="17" t="s">
        <v>0</v>
      </c>
    </row>
    <row r="62" spans="2:5" ht="15.45">
      <c r="B62" s="21" t="s">
        <v>64</v>
      </c>
      <c r="C62" s="3" t="s">
        <v>5</v>
      </c>
      <c r="D62" s="1"/>
      <c r="E62" s="23">
        <f>(E51*E44)+E52+(E53*E54)+E55</f>
        <v>178.63333333333333</v>
      </c>
    </row>
    <row r="63" spans="2:5">
      <c r="B63" s="16"/>
      <c r="C63" s="1"/>
      <c r="D63" s="1"/>
      <c r="E63" s="1"/>
    </row>
    <row r="64" spans="2:5">
      <c r="B64" s="20"/>
      <c r="C64" s="20"/>
      <c r="D64" s="20"/>
      <c r="E64" s="20"/>
    </row>
  </sheetData>
  <sheetProtection sheet="1" objects="1" scenarios="1"/>
  <mergeCells count="4">
    <mergeCell ref="B1:E1"/>
    <mergeCell ref="C3:D3"/>
    <mergeCell ref="B22:E22"/>
    <mergeCell ref="B48:E48"/>
  </mergeCells>
  <phoneticPr fontId="4" type="noConversion"/>
  <pageMargins left="1" right="0.5" top="1" bottom="1" header="0.5" footer="0.5"/>
  <pageSetup scale="70" orientation="portrait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1568-CCED-429D-8708-E6791DE95935}">
  <sheetPr>
    <pageSetUpPr fitToPage="1"/>
  </sheetPr>
  <dimension ref="B1:O28"/>
  <sheetViews>
    <sheetView tabSelected="1" topLeftCell="A5" workbookViewId="0">
      <selection activeCell="J10" sqref="J10"/>
    </sheetView>
  </sheetViews>
  <sheetFormatPr defaultRowHeight="15"/>
  <cols>
    <col min="1" max="1" width="2.9375" customWidth="1"/>
    <col min="2" max="2" width="17.3125" customWidth="1"/>
    <col min="6" max="6" width="15.0625" customWidth="1"/>
    <col min="8" max="8" width="1.5" customWidth="1"/>
  </cols>
  <sheetData>
    <row r="1" spans="2:15" ht="17.600000000000001">
      <c r="B1" s="55" t="s">
        <v>69</v>
      </c>
      <c r="C1" s="55"/>
      <c r="D1" s="55"/>
      <c r="E1" s="55"/>
      <c r="F1" s="55"/>
      <c r="G1" s="55"/>
      <c r="H1" s="55"/>
      <c r="I1" s="55"/>
    </row>
    <row r="2" spans="2:15" ht="17.600000000000001">
      <c r="B2" s="25"/>
      <c r="C2" s="25"/>
      <c r="D2" s="25"/>
      <c r="E2" s="25"/>
      <c r="F2" s="25"/>
      <c r="G2" s="25"/>
      <c r="H2" s="25"/>
      <c r="I2" s="25"/>
      <c r="J2" s="26"/>
    </row>
    <row r="3" spans="2:15">
      <c r="B3" s="27"/>
      <c r="C3" s="27"/>
      <c r="D3" s="27"/>
      <c r="E3" s="27"/>
      <c r="F3" s="28"/>
      <c r="G3" s="27"/>
      <c r="H3" s="27"/>
      <c r="I3" s="28"/>
    </row>
    <row r="4" spans="2:15">
      <c r="B4" s="28" t="s">
        <v>70</v>
      </c>
      <c r="C4" s="28"/>
      <c r="D4" s="29">
        <v>45000</v>
      </c>
      <c r="E4" s="28"/>
      <c r="F4" s="28"/>
      <c r="G4" s="28"/>
    </row>
    <row r="5" spans="2:15">
      <c r="B5" s="28" t="s">
        <v>71</v>
      </c>
      <c r="C5" s="28"/>
      <c r="D5" s="30">
        <v>20</v>
      </c>
      <c r="E5" s="31" t="s">
        <v>72</v>
      </c>
      <c r="F5" s="28"/>
      <c r="G5" s="32">
        <f>ROUND(D5*D4*0.01,2)</f>
        <v>9000</v>
      </c>
      <c r="H5" s="32"/>
      <c r="I5" s="28"/>
      <c r="J5" s="33"/>
    </row>
    <row r="6" spans="2:15">
      <c r="B6" s="28"/>
      <c r="C6" s="28"/>
      <c r="D6" s="28"/>
      <c r="E6" s="28"/>
      <c r="F6" s="28"/>
      <c r="G6" s="32"/>
      <c r="H6" s="28"/>
      <c r="J6" s="33"/>
    </row>
    <row r="7" spans="2:15">
      <c r="B7" s="28" t="s">
        <v>73</v>
      </c>
      <c r="C7" s="28"/>
      <c r="D7" s="34">
        <v>5</v>
      </c>
      <c r="E7" s="28" t="s">
        <v>74</v>
      </c>
      <c r="F7" s="28"/>
      <c r="G7" s="32">
        <f>(D4-G5)</f>
        <v>36000</v>
      </c>
      <c r="H7" s="32"/>
      <c r="I7" s="28"/>
      <c r="J7" s="33"/>
    </row>
    <row r="8" spans="2:15">
      <c r="B8" s="28"/>
      <c r="C8" s="28"/>
      <c r="D8" s="28"/>
      <c r="E8" s="28"/>
      <c r="F8" s="28"/>
      <c r="G8" s="28"/>
      <c r="H8" s="32"/>
      <c r="I8" s="28"/>
      <c r="J8" s="35"/>
    </row>
    <row r="9" spans="2:15" ht="15.45">
      <c r="B9" s="28" t="s">
        <v>75</v>
      </c>
      <c r="C9" s="28"/>
      <c r="D9" s="30">
        <v>5</v>
      </c>
      <c r="E9" s="28" t="s">
        <v>76</v>
      </c>
      <c r="F9" s="28"/>
      <c r="G9" s="32">
        <f>+M15</f>
        <v>5575.47</v>
      </c>
      <c r="H9" s="36"/>
      <c r="I9" s="28"/>
      <c r="J9" s="37"/>
    </row>
    <row r="10" spans="2:15" ht="15.45">
      <c r="B10" s="28"/>
      <c r="C10" s="28"/>
      <c r="D10" s="38"/>
      <c r="H10" s="36"/>
      <c r="I10" s="28"/>
      <c r="J10" s="37"/>
    </row>
    <row r="11" spans="2:15" ht="15.45">
      <c r="B11" s="39" t="s">
        <v>91</v>
      </c>
      <c r="C11" s="28"/>
      <c r="D11" s="28"/>
      <c r="E11" s="39" t="s">
        <v>77</v>
      </c>
      <c r="G11" s="40">
        <f>G17/12</f>
        <v>692.92416666666668</v>
      </c>
      <c r="H11" s="28"/>
      <c r="I11" s="28"/>
      <c r="M11" t="s">
        <v>78</v>
      </c>
    </row>
    <row r="12" spans="2:15" ht="15.45">
      <c r="B12" s="28"/>
      <c r="C12" s="28"/>
      <c r="D12" s="28"/>
      <c r="E12" s="39" t="s">
        <v>79</v>
      </c>
      <c r="F12" s="28"/>
      <c r="G12" s="40">
        <f>G17</f>
        <v>8315.09</v>
      </c>
      <c r="H12" s="28"/>
      <c r="I12" s="28"/>
      <c r="M12" s="41" t="s">
        <v>80</v>
      </c>
      <c r="N12" s="41" t="s">
        <v>81</v>
      </c>
    </row>
    <row r="13" spans="2:15">
      <c r="B13" s="28"/>
      <c r="C13" s="28"/>
      <c r="D13" s="28"/>
      <c r="E13" s="28" t="s">
        <v>82</v>
      </c>
      <c r="F13" s="28"/>
      <c r="G13" s="28"/>
      <c r="H13" s="28"/>
      <c r="I13" s="28"/>
      <c r="M13" s="41"/>
      <c r="N13" s="41"/>
    </row>
    <row r="14" spans="2:15" ht="15.45">
      <c r="B14" s="28"/>
      <c r="C14" s="31" t="s">
        <v>83</v>
      </c>
      <c r="D14" s="28"/>
      <c r="E14" s="31"/>
      <c r="F14" s="31"/>
      <c r="G14" s="42" t="s">
        <v>84</v>
      </c>
      <c r="H14" s="31"/>
      <c r="I14" s="31" t="s">
        <v>85</v>
      </c>
      <c r="J14" s="28"/>
      <c r="M14" s="41" t="s">
        <v>86</v>
      </c>
      <c r="N14" s="41" t="s">
        <v>86</v>
      </c>
    </row>
    <row r="15" spans="2:15" ht="15.45">
      <c r="B15" s="28" t="s">
        <v>87</v>
      </c>
      <c r="C15" s="43">
        <v>2019</v>
      </c>
      <c r="D15" s="28"/>
      <c r="E15" s="31" t="s">
        <v>80</v>
      </c>
      <c r="F15" s="31" t="s">
        <v>85</v>
      </c>
      <c r="G15" s="42" t="s">
        <v>88</v>
      </c>
      <c r="H15" s="31"/>
      <c r="I15" s="31" t="s">
        <v>89</v>
      </c>
      <c r="J15" s="31"/>
      <c r="M15" s="44">
        <f>SUM(E17:E26)</f>
        <v>5575.47</v>
      </c>
      <c r="N15" s="44">
        <f>SUM(F17:F26)</f>
        <v>36000</v>
      </c>
    </row>
    <row r="16" spans="2:15" ht="15.45">
      <c r="B16" s="28"/>
      <c r="C16" s="28"/>
      <c r="D16" s="28"/>
      <c r="E16" s="28"/>
      <c r="F16" s="28"/>
      <c r="G16" s="39"/>
      <c r="H16" s="28"/>
      <c r="I16" s="28"/>
      <c r="M16" s="45" t="s">
        <v>90</v>
      </c>
      <c r="N16" s="45"/>
      <c r="O16" s="46">
        <f>G7-F28</f>
        <v>0</v>
      </c>
    </row>
    <row r="17" spans="2:14" ht="15.45">
      <c r="B17" s="28"/>
      <c r="C17" s="28">
        <f>C15</f>
        <v>2019</v>
      </c>
      <c r="D17" s="28">
        <v>1</v>
      </c>
      <c r="E17" s="47">
        <f t="shared" ref="E17:E25" si="0">IF(D$7&gt;=+D17,ROUND(IPMT(D$9*0.01,+D17,D$7,-(((1-D$5*0.01)*D$4))),2),0)</f>
        <v>1800</v>
      </c>
      <c r="F17" s="47">
        <f t="shared" ref="F17:F25" si="1">IF(D$7&gt;=+D17,ROUND(PPMT(D$9*0.01,+D17,D$7,-(((1-D$5*0.01)*D$4))),2),0)</f>
        <v>6515.09</v>
      </c>
      <c r="G17" s="48">
        <f t="shared" ref="G17:G25" si="2">E17+F17</f>
        <v>8315.09</v>
      </c>
      <c r="H17" s="47"/>
      <c r="I17" s="49">
        <f>(G7-F17)</f>
        <v>29484.91</v>
      </c>
      <c r="J17" s="32"/>
    </row>
    <row r="18" spans="2:14" ht="15.45">
      <c r="B18" s="28"/>
      <c r="C18" s="28">
        <f t="shared" ref="C18:C26" si="3">C17+1</f>
        <v>2020</v>
      </c>
      <c r="D18" s="28">
        <v>2</v>
      </c>
      <c r="E18" s="47">
        <f t="shared" si="0"/>
        <v>1474.25</v>
      </c>
      <c r="F18" s="47">
        <f t="shared" si="1"/>
        <v>6840.85</v>
      </c>
      <c r="G18" s="48">
        <f t="shared" si="2"/>
        <v>8315.1</v>
      </c>
      <c r="H18" s="47"/>
      <c r="I18" s="49">
        <f>(I17-F18)</f>
        <v>22644.059999999998</v>
      </c>
      <c r="J18" s="32"/>
      <c r="M18" s="44"/>
      <c r="N18" s="44"/>
    </row>
    <row r="19" spans="2:14" ht="15.45">
      <c r="B19" s="28"/>
      <c r="C19" s="28">
        <f t="shared" si="3"/>
        <v>2021</v>
      </c>
      <c r="D19" s="28">
        <v>3</v>
      </c>
      <c r="E19" s="47">
        <f t="shared" si="0"/>
        <v>1132.2</v>
      </c>
      <c r="F19" s="47">
        <f t="shared" si="1"/>
        <v>7182.89</v>
      </c>
      <c r="G19" s="48">
        <f t="shared" si="2"/>
        <v>8315.09</v>
      </c>
      <c r="H19" s="47"/>
      <c r="I19" s="49">
        <f t="shared" ref="I19:I26" si="4">(I18-F19)</f>
        <v>15461.169999999998</v>
      </c>
      <c r="J19" s="32"/>
    </row>
    <row r="20" spans="2:14" ht="15.45">
      <c r="B20" s="28"/>
      <c r="C20" s="28">
        <f t="shared" si="3"/>
        <v>2022</v>
      </c>
      <c r="D20" s="28">
        <v>4</v>
      </c>
      <c r="E20" s="47">
        <f t="shared" si="0"/>
        <v>773.06</v>
      </c>
      <c r="F20" s="47">
        <f t="shared" si="1"/>
        <v>7542.03</v>
      </c>
      <c r="G20" s="48">
        <f t="shared" si="2"/>
        <v>8315.09</v>
      </c>
      <c r="H20" s="47"/>
      <c r="I20" s="49">
        <f t="shared" si="4"/>
        <v>7919.1399999999985</v>
      </c>
      <c r="J20" s="32"/>
    </row>
    <row r="21" spans="2:14" ht="15.45">
      <c r="B21" s="28"/>
      <c r="C21" s="28">
        <f t="shared" si="3"/>
        <v>2023</v>
      </c>
      <c r="D21" s="28">
        <v>5</v>
      </c>
      <c r="E21" s="47">
        <f t="shared" si="0"/>
        <v>395.96</v>
      </c>
      <c r="F21" s="47">
        <f t="shared" si="1"/>
        <v>7919.14</v>
      </c>
      <c r="G21" s="48">
        <f t="shared" si="2"/>
        <v>8315.1</v>
      </c>
      <c r="H21" s="47"/>
      <c r="I21" s="49">
        <f t="shared" si="4"/>
        <v>-1.8189894035458565E-12</v>
      </c>
      <c r="J21" s="32"/>
    </row>
    <row r="22" spans="2:14" ht="15.45">
      <c r="B22" s="28"/>
      <c r="C22" s="28">
        <f t="shared" si="3"/>
        <v>2024</v>
      </c>
      <c r="D22" s="28">
        <v>6</v>
      </c>
      <c r="E22" s="47">
        <f t="shared" si="0"/>
        <v>0</v>
      </c>
      <c r="F22" s="47">
        <f t="shared" si="1"/>
        <v>0</v>
      </c>
      <c r="G22" s="48">
        <f t="shared" si="2"/>
        <v>0</v>
      </c>
      <c r="H22" s="47"/>
      <c r="I22" s="49">
        <f t="shared" si="4"/>
        <v>-1.8189894035458565E-12</v>
      </c>
      <c r="J22" s="32"/>
      <c r="M22" s="22"/>
      <c r="N22" s="22"/>
    </row>
    <row r="23" spans="2:14" ht="15.45">
      <c r="B23" s="28"/>
      <c r="C23" s="28">
        <f t="shared" si="3"/>
        <v>2025</v>
      </c>
      <c r="D23" s="28">
        <v>7</v>
      </c>
      <c r="E23" s="47">
        <f t="shared" si="0"/>
        <v>0</v>
      </c>
      <c r="F23" s="47">
        <f t="shared" si="1"/>
        <v>0</v>
      </c>
      <c r="G23" s="48">
        <f t="shared" si="2"/>
        <v>0</v>
      </c>
      <c r="H23" s="47"/>
      <c r="I23" s="49">
        <f t="shared" si="4"/>
        <v>-1.8189894035458565E-12</v>
      </c>
      <c r="J23" s="32"/>
      <c r="M23" s="22"/>
      <c r="N23" s="22"/>
    </row>
    <row r="24" spans="2:14" ht="15.45">
      <c r="B24" s="28"/>
      <c r="C24" s="28">
        <f t="shared" si="3"/>
        <v>2026</v>
      </c>
      <c r="D24" s="28">
        <v>8</v>
      </c>
      <c r="E24" s="47">
        <f t="shared" si="0"/>
        <v>0</v>
      </c>
      <c r="F24" s="47">
        <f t="shared" si="1"/>
        <v>0</v>
      </c>
      <c r="G24" s="48">
        <f t="shared" si="2"/>
        <v>0</v>
      </c>
      <c r="H24" s="47"/>
      <c r="I24" s="49">
        <f t="shared" si="4"/>
        <v>-1.8189894035458565E-12</v>
      </c>
      <c r="J24" s="32"/>
      <c r="M24" s="50"/>
      <c r="N24" s="50"/>
    </row>
    <row r="25" spans="2:14" ht="15.45">
      <c r="B25" s="28"/>
      <c r="C25" s="28">
        <f t="shared" si="3"/>
        <v>2027</v>
      </c>
      <c r="D25" s="28">
        <v>9</v>
      </c>
      <c r="E25" s="47">
        <f t="shared" si="0"/>
        <v>0</v>
      </c>
      <c r="F25" s="47">
        <f t="shared" si="1"/>
        <v>0</v>
      </c>
      <c r="G25" s="48">
        <f t="shared" si="2"/>
        <v>0</v>
      </c>
      <c r="H25" s="47"/>
      <c r="I25" s="49">
        <f t="shared" si="4"/>
        <v>-1.8189894035458565E-12</v>
      </c>
      <c r="J25" s="32"/>
      <c r="M25" s="51"/>
      <c r="N25" s="51"/>
    </row>
    <row r="26" spans="2:14" ht="15.45">
      <c r="B26" s="28"/>
      <c r="C26" s="28">
        <f t="shared" si="3"/>
        <v>2028</v>
      </c>
      <c r="D26" s="28">
        <v>10</v>
      </c>
      <c r="E26" s="47">
        <f>IF(D$7&gt;=+D26,ROUND(IPMT(D$9*0.01,+D26,D$7,-(((1-D$5*0.01)*D$4))),2),0)</f>
        <v>0</v>
      </c>
      <c r="F26" s="47">
        <f>IF(D$7&gt;=+D26,ROUND(PPMT(D$9*0.01,+D26,D$7,-(((1-D$5*0.01)*D$4))),2),0)</f>
        <v>0</v>
      </c>
      <c r="G26" s="48">
        <f>E26+F26</f>
        <v>0</v>
      </c>
      <c r="H26" s="47"/>
      <c r="I26" s="49">
        <f t="shared" si="4"/>
        <v>-1.8189894035458565E-12</v>
      </c>
      <c r="J26" s="32"/>
    </row>
    <row r="27" spans="2:14">
      <c r="B27" s="28"/>
      <c r="C27" s="28"/>
      <c r="D27" s="28"/>
      <c r="E27" s="28"/>
      <c r="F27" s="28"/>
      <c r="G27" s="28"/>
      <c r="H27" s="28"/>
      <c r="I27" s="28"/>
      <c r="J27" s="50"/>
      <c r="K27" s="50"/>
    </row>
    <row r="28" spans="2:14" ht="15.45">
      <c r="B28" s="28"/>
      <c r="C28" s="39" t="s">
        <v>84</v>
      </c>
      <c r="D28" s="28"/>
      <c r="E28" s="40">
        <f>SUM(E17:E26)</f>
        <v>5575.47</v>
      </c>
      <c r="F28" s="40">
        <f>SUM(F17:F26)</f>
        <v>36000</v>
      </c>
      <c r="G28" s="40">
        <f>SUM(G17:G26)</f>
        <v>41575.47</v>
      </c>
      <c r="H28" s="32"/>
      <c r="I28" s="51"/>
      <c r="J28" s="50"/>
      <c r="K28" s="50"/>
    </row>
  </sheetData>
  <sheetProtection sheet="1" objects="1" scenarios="1"/>
  <mergeCells count="1">
    <mergeCell ref="B1:I1"/>
  </mergeCells>
  <pageMargins left="0.7" right="0.7" top="0.75" bottom="0.75" header="0.3" footer="0.3"/>
  <pageSetup scale="96" orientation="portrait" horizontalDpi="4294967295" verticalDpi="4294967295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Vehicle Cost Calculator</vt:lpstr>
      <vt:lpstr>2. Loan Payment Schedule</vt:lpstr>
      <vt:lpstr>'1. Vehicle Cost Calculator'!Print_Area</vt:lpstr>
      <vt:lpstr>'2. Loan Payment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2020-01-27T14:05:31Z</cp:lastPrinted>
  <dcterms:created xsi:type="dcterms:W3CDTF">2008-02-08T12:46:59Z</dcterms:created>
  <dcterms:modified xsi:type="dcterms:W3CDTF">2020-01-27T14:05:53Z</dcterms:modified>
</cp:coreProperties>
</file>