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F:\B. Updates\"/>
    </mc:Choice>
  </mc:AlternateContent>
  <xr:revisionPtr revIDLastSave="0" documentId="13_ncr:1_{A75CAFEB-1867-4D5D-8DFC-47305C9D99D2}" xr6:coauthVersionLast="44" xr6:coauthVersionMax="44" xr10:uidLastSave="{00000000-0000-0000-0000-000000000000}"/>
  <bookViews>
    <workbookView xWindow="-103" yWindow="-103" windowWidth="16663" windowHeight="8863" tabRatio="1000" activeTab="1" xr2:uid="{00000000-000D-0000-FFFF-FFFF00000000}"/>
  </bookViews>
  <sheets>
    <sheet name="1. Dates&amp;Descripitions" sheetId="16" r:id="rId1"/>
    <sheet name="2.WeanedCalf to Sell Bred Heif " sheetId="4" r:id="rId2"/>
    <sheet name="3. Summary Report" sheetId="17" r:id="rId3"/>
    <sheet name="4.SexedSemen AI BreedingCost" sheetId="19" r:id="rId4"/>
    <sheet name="5. Sexed Semen AI Summary" sheetId="14" r:id="rId5"/>
    <sheet name="6. Bull Cost" sheetId="9" r:id="rId6"/>
    <sheet name="7. Natural Service Cost" sheetId="15" r:id="rId7"/>
    <sheet name="8. Bull Investment &amp; Costs" sheetId="20" r:id="rId8"/>
    <sheet name="9. Breeding System Costs" sheetId="21" r:id="rId9"/>
    <sheet name="10. Weaned Calving Margin" sheetId="22" r:id="rId10"/>
    <sheet name="11. Cost Definitions" sheetId="18" r:id="rId11"/>
  </sheets>
  <definedNames>
    <definedName name="_xlnm.Print_Area" localSheetId="0">'1. Dates&amp;Descripitions'!$B$1:$F$39</definedName>
    <definedName name="_xlnm.Print_Area" localSheetId="9">'10. Weaned Calving Margin'!$B$1:$I$48</definedName>
    <definedName name="_xlnm.Print_Area" localSheetId="10">'11. Cost Definitions'!$B$2:$B$13</definedName>
    <definedName name="_xlnm.Print_Area" localSheetId="1">'2.WeanedCalf to Sell Bred Heif '!$B$1:$G$164</definedName>
    <definedName name="_xlnm.Print_Area" localSheetId="2">'3. Summary Report'!$B$1:$E$68</definedName>
    <definedName name="_xlnm.Print_Area" localSheetId="3">'4.SexedSemen AI BreedingCost'!$B$1:$H$103</definedName>
    <definedName name="_xlnm.Print_Area" localSheetId="4">'5. Sexed Semen AI Summary'!$B$1:$G$58</definedName>
    <definedName name="_xlnm.Print_Area" localSheetId="5">'6. Bull Cost'!$B$1:$H$41</definedName>
    <definedName name="_xlnm.Print_Area" localSheetId="6">'7. Natural Service Cost'!$B$1:$I$32</definedName>
    <definedName name="_xlnm.Print_Area" localSheetId="7">'8. Bull Investment &amp; Costs'!$B$2:$F$41</definedName>
    <definedName name="_xlnm.Print_Area" localSheetId="8">'9. Breeding System Costs'!$B$1:$K$72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17" l="1"/>
  <c r="K10" i="4"/>
  <c r="D67" i="19" l="1"/>
  <c r="D16" i="19"/>
  <c r="E3" i="14" l="1"/>
  <c r="H27" i="14" s="1"/>
  <c r="C20" i="17" l="1"/>
  <c r="D8" i="15"/>
  <c r="D63" i="19" l="1"/>
  <c r="F8" i="22" s="1"/>
  <c r="D12" i="19"/>
  <c r="C19" i="4" l="1"/>
  <c r="D8" i="22"/>
  <c r="H24" i="22"/>
  <c r="I22" i="22" s="1"/>
  <c r="H5" i="22"/>
  <c r="F20" i="22" s="1"/>
  <c r="H36" i="22"/>
  <c r="H26" i="22" s="1"/>
  <c r="H35" i="22"/>
  <c r="H25" i="22" s="1"/>
  <c r="I23" i="22" l="1"/>
  <c r="H27" i="22"/>
  <c r="H29" i="22" s="1"/>
  <c r="I36" i="22"/>
  <c r="H40" i="21" l="1"/>
  <c r="H33" i="21"/>
  <c r="H32" i="21"/>
  <c r="D12" i="21" l="1"/>
  <c r="H9" i="22" s="1"/>
  <c r="D9" i="21"/>
  <c r="F9" i="22" s="1"/>
  <c r="H37" i="21"/>
  <c r="H36" i="21"/>
  <c r="C20" i="21"/>
  <c r="C31" i="21" s="1"/>
  <c r="C48" i="21" s="1"/>
  <c r="G12" i="21"/>
  <c r="D38" i="4" l="1"/>
  <c r="D37" i="4" l="1"/>
  <c r="D36" i="4"/>
  <c r="D8" i="21" l="1"/>
  <c r="D9" i="22" s="1"/>
  <c r="D6" i="14" l="1"/>
  <c r="D7" i="14"/>
  <c r="F5" i="4" l="1"/>
  <c r="C18" i="4" s="1"/>
  <c r="F37" i="20" l="1"/>
  <c r="F36" i="20"/>
  <c r="E39" i="20"/>
  <c r="D39" i="20"/>
  <c r="B3" i="14"/>
  <c r="C3" i="22" s="1"/>
  <c r="F39" i="20" l="1"/>
  <c r="B2" i="17"/>
  <c r="F22" i="9" l="1"/>
  <c r="O72" i="4" l="1"/>
  <c r="K81" i="19" l="1"/>
  <c r="K30" i="19"/>
  <c r="F6" i="4" l="1"/>
  <c r="H18" i="15"/>
  <c r="D4" i="17" l="1"/>
  <c r="E7" i="14"/>
  <c r="H28" i="15"/>
  <c r="E92" i="19" l="1"/>
  <c r="E46" i="19"/>
  <c r="E96" i="19" l="1"/>
  <c r="D62" i="14" s="1"/>
  <c r="D7" i="20" s="1"/>
  <c r="N72" i="4"/>
  <c r="K5" i="4"/>
  <c r="F55" i="4" l="1"/>
  <c r="D35" i="15" l="1"/>
  <c r="D22" i="20" s="1"/>
  <c r="C51" i="4" l="1"/>
  <c r="E50" i="4"/>
  <c r="E49" i="4"/>
  <c r="F50" i="4"/>
  <c r="F49" i="4"/>
  <c r="F48" i="4"/>
  <c r="F47" i="4"/>
  <c r="C32" i="9"/>
  <c r="C38" i="9" s="1"/>
  <c r="E38" i="9" s="1"/>
  <c r="F52" i="4" l="1"/>
  <c r="D52" i="4" s="1"/>
  <c r="I3" i="9"/>
  <c r="I17" i="4" l="1"/>
  <c r="E48" i="4" l="1"/>
  <c r="D9" i="16" l="1"/>
  <c r="K11" i="4" l="1"/>
  <c r="I11" i="4" l="1"/>
  <c r="G11" i="4" l="1"/>
  <c r="E35" i="4" l="1"/>
  <c r="E23" i="17" s="1"/>
  <c r="E34" i="4"/>
  <c r="E22" i="17" s="1"/>
  <c r="C10" i="17" l="1"/>
  <c r="L132" i="4" l="1"/>
  <c r="C70" i="4" l="1"/>
  <c r="C72" i="4" l="1"/>
  <c r="C78" i="4"/>
  <c r="C20" i="4"/>
  <c r="C27" i="4"/>
  <c r="D27" i="17" l="1"/>
  <c r="E13" i="4"/>
  <c r="C34" i="4" s="1"/>
  <c r="E15" i="4"/>
  <c r="C6" i="17"/>
  <c r="B12" i="17"/>
  <c r="E16" i="4"/>
  <c r="C8" i="17"/>
  <c r="C5" i="17"/>
  <c r="F63" i="4"/>
  <c r="C13" i="4"/>
  <c r="I28" i="4" s="1"/>
  <c r="C8" i="4"/>
  <c r="E8" i="4"/>
  <c r="D11" i="16"/>
  <c r="C53" i="4"/>
  <c r="K7" i="4"/>
  <c r="C29" i="9"/>
  <c r="E11" i="9" s="1"/>
  <c r="E33" i="9" s="1"/>
  <c r="E10" i="4"/>
  <c r="E22" i="4"/>
  <c r="F53" i="4"/>
  <c r="D23" i="4"/>
  <c r="D24" i="4"/>
  <c r="E25" i="4"/>
  <c r="E47" i="4"/>
  <c r="I54" i="4"/>
  <c r="E17" i="9"/>
  <c r="G27" i="9"/>
  <c r="E40" i="9" s="1"/>
  <c r="G23" i="4"/>
  <c r="G24" i="4"/>
  <c r="D13" i="16"/>
  <c r="C9" i="17"/>
  <c r="C25" i="16"/>
  <c r="D25" i="16" s="1"/>
  <c r="C26" i="4"/>
  <c r="E28" i="14" l="1"/>
  <c r="D39" i="4"/>
  <c r="D26" i="17" s="1"/>
  <c r="F38" i="9"/>
  <c r="C69" i="14" s="1"/>
  <c r="D41" i="20"/>
  <c r="G33" i="9"/>
  <c r="C65" i="14"/>
  <c r="C10" i="20" s="1"/>
  <c r="C25" i="20" s="1"/>
  <c r="D25" i="20" s="1"/>
  <c r="N76" i="4"/>
  <c r="C4" i="17"/>
  <c r="K27" i="9"/>
  <c r="M70" i="4" s="1"/>
  <c r="F20" i="9"/>
  <c r="G17" i="9" s="1"/>
  <c r="I8" i="4"/>
  <c r="I9" i="4"/>
  <c r="C18" i="17"/>
  <c r="I15" i="4"/>
  <c r="G10" i="4"/>
  <c r="H10" i="4" s="1"/>
  <c r="E17" i="4"/>
  <c r="D7" i="19" s="1"/>
  <c r="C15" i="17"/>
  <c r="D19" i="16"/>
  <c r="C3" i="15"/>
  <c r="I27" i="4"/>
  <c r="J27" i="4" s="1"/>
  <c r="E15" i="9"/>
  <c r="F15" i="4"/>
  <c r="F34" i="4" s="1"/>
  <c r="D34" i="4" s="1"/>
  <c r="D22" i="17" s="1"/>
  <c r="C31" i="4"/>
  <c r="I14" i="4" s="1"/>
  <c r="D30" i="4" s="1"/>
  <c r="I10" i="4"/>
  <c r="D26" i="4" s="1"/>
  <c r="C22" i="17"/>
  <c r="E16" i="9"/>
  <c r="E34" i="9" s="1"/>
  <c r="C66" i="14" s="1"/>
  <c r="E12" i="9"/>
  <c r="G38" i="9" l="1"/>
  <c r="N71" i="4" s="1"/>
  <c r="G9" i="9"/>
  <c r="C44" i="15"/>
  <c r="D44" i="15" s="1"/>
  <c r="O71" i="4" s="1"/>
  <c r="C4" i="15"/>
  <c r="J8" i="15"/>
  <c r="C6" i="21"/>
  <c r="D69" i="14"/>
  <c r="C15" i="20"/>
  <c r="E19" i="4"/>
  <c r="C40" i="4" s="1"/>
  <c r="F40" i="4" s="1"/>
  <c r="D5" i="14"/>
  <c r="D66" i="14"/>
  <c r="D11" i="20" s="1"/>
  <c r="C11" i="20"/>
  <c r="C26" i="20" s="1"/>
  <c r="D26" i="20" s="1"/>
  <c r="K80" i="19"/>
  <c r="F59" i="4"/>
  <c r="P25" i="9"/>
  <c r="P27" i="9" s="1"/>
  <c r="D38" i="15"/>
  <c r="C38" i="15"/>
  <c r="G34" i="9"/>
  <c r="G8" i="9"/>
  <c r="G11" i="9"/>
  <c r="H19" i="9"/>
  <c r="K25" i="9"/>
  <c r="G10" i="9"/>
  <c r="G15" i="9"/>
  <c r="G16" i="9"/>
  <c r="G12" i="9"/>
  <c r="C4" i="9"/>
  <c r="C12" i="17"/>
  <c r="J28" i="4"/>
  <c r="G50" i="4"/>
  <c r="F54" i="4"/>
  <c r="E97" i="4" s="1"/>
  <c r="G12" i="4"/>
  <c r="E92" i="4"/>
  <c r="F44" i="4"/>
  <c r="I60" i="4" s="1"/>
  <c r="E18" i="9"/>
  <c r="E20" i="9" s="1"/>
  <c r="D60" i="21" s="1"/>
  <c r="F67" i="21" l="1"/>
  <c r="D5" i="22"/>
  <c r="F58" i="21"/>
  <c r="C30" i="21"/>
  <c r="C47" i="21" s="1"/>
  <c r="C19" i="21"/>
  <c r="J9" i="15"/>
  <c r="H67" i="21" s="1"/>
  <c r="J10" i="15"/>
  <c r="C30" i="20"/>
  <c r="D15" i="20"/>
  <c r="D69" i="21"/>
  <c r="E69" i="21" s="1"/>
  <c r="E60" i="21"/>
  <c r="F60" i="21" s="1"/>
  <c r="I18" i="15"/>
  <c r="D58" i="19"/>
  <c r="D15" i="19"/>
  <c r="D18" i="19" s="1"/>
  <c r="C76" i="19"/>
  <c r="C93" i="19" s="1"/>
  <c r="C96" i="19" s="1"/>
  <c r="D99" i="19" s="1"/>
  <c r="C25" i="19"/>
  <c r="D66" i="19"/>
  <c r="D59" i="4"/>
  <c r="E98" i="4"/>
  <c r="N70" i="4"/>
  <c r="E62" i="14"/>
  <c r="E7" i="20" s="1"/>
  <c r="K29" i="19"/>
  <c r="H34" i="9"/>
  <c r="K23" i="9"/>
  <c r="H33" i="9"/>
  <c r="I68" i="4" s="1"/>
  <c r="H20" i="9"/>
  <c r="H21" i="9" s="1"/>
  <c r="G18" i="9"/>
  <c r="I5" i="9"/>
  <c r="G20" i="9"/>
  <c r="C37" i="9"/>
  <c r="H38" i="9"/>
  <c r="F5" i="9"/>
  <c r="D44" i="4"/>
  <c r="I12" i="4"/>
  <c r="C127" i="4"/>
  <c r="E22" i="9"/>
  <c r="G22" i="9" s="1"/>
  <c r="H89" i="19" l="1"/>
  <c r="F89" i="19"/>
  <c r="H39" i="19"/>
  <c r="F39" i="19" s="1"/>
  <c r="D70" i="19"/>
  <c r="E36" i="21" s="1"/>
  <c r="F12" i="22" s="1"/>
  <c r="D30" i="20"/>
  <c r="D62" i="21"/>
  <c r="F69" i="21"/>
  <c r="H69" i="21"/>
  <c r="C43" i="19"/>
  <c r="C46" i="19"/>
  <c r="D49" i="19" s="1"/>
  <c r="D32" i="21"/>
  <c r="D19" i="19"/>
  <c r="E22" i="20"/>
  <c r="E15" i="20"/>
  <c r="E69" i="14"/>
  <c r="E66" i="14"/>
  <c r="E11" i="20" s="1"/>
  <c r="K83" i="19"/>
  <c r="K32" i="19"/>
  <c r="D96" i="19"/>
  <c r="C16" i="15"/>
  <c r="D28" i="15"/>
  <c r="D32" i="19"/>
  <c r="H32" i="19" s="1"/>
  <c r="D40" i="19"/>
  <c r="H40" i="19" s="1"/>
  <c r="D91" i="19"/>
  <c r="H91" i="19" s="1"/>
  <c r="G91" i="19" s="1"/>
  <c r="D88" i="19"/>
  <c r="H88" i="19" s="1"/>
  <c r="F88" i="19" s="1"/>
  <c r="D82" i="19"/>
  <c r="H82" i="19" s="1"/>
  <c r="F82" i="19" s="1"/>
  <c r="D34" i="19"/>
  <c r="H34" i="19" s="1"/>
  <c r="D28" i="19"/>
  <c r="H28" i="19" s="1"/>
  <c r="F28" i="19" s="1"/>
  <c r="D78" i="19"/>
  <c r="H78" i="19" s="1"/>
  <c r="D80" i="19"/>
  <c r="H80" i="19" s="1"/>
  <c r="D85" i="19"/>
  <c r="H85" i="19" s="1"/>
  <c r="F85" i="19" s="1"/>
  <c r="H37" i="19"/>
  <c r="D79" i="19"/>
  <c r="H79" i="19" s="1"/>
  <c r="F79" i="19" s="1"/>
  <c r="D41" i="19"/>
  <c r="H41" i="19" s="1"/>
  <c r="G41" i="19" s="1"/>
  <c r="D36" i="19"/>
  <c r="H36" i="19" s="1"/>
  <c r="D69" i="19" s="1"/>
  <c r="D36" i="21" s="1"/>
  <c r="D87" i="19"/>
  <c r="H87" i="19" s="1"/>
  <c r="F87" i="19" s="1"/>
  <c r="D90" i="19"/>
  <c r="H90" i="19" s="1"/>
  <c r="F90" i="19" s="1"/>
  <c r="D33" i="19"/>
  <c r="H33" i="19" s="1"/>
  <c r="G33" i="19" s="1"/>
  <c r="D81" i="19"/>
  <c r="H81" i="19" s="1"/>
  <c r="F81" i="19" s="1"/>
  <c r="D30" i="19"/>
  <c r="H30" i="19" s="1"/>
  <c r="D84" i="19"/>
  <c r="H84" i="19" s="1"/>
  <c r="D92" i="19"/>
  <c r="H92" i="19" s="1"/>
  <c r="F92" i="19" s="1"/>
  <c r="D29" i="19"/>
  <c r="H29" i="19" s="1"/>
  <c r="F29" i="19" s="1"/>
  <c r="D38" i="19"/>
  <c r="H38" i="19" s="1"/>
  <c r="F38" i="19" s="1"/>
  <c r="D31" i="19"/>
  <c r="H31" i="19" s="1"/>
  <c r="D27" i="19"/>
  <c r="H27" i="19" s="1"/>
  <c r="D42" i="19"/>
  <c r="H42" i="19" s="1"/>
  <c r="F42" i="19" s="1"/>
  <c r="D83" i="19"/>
  <c r="H83" i="19" s="1"/>
  <c r="G83" i="19" s="1"/>
  <c r="J6" i="15"/>
  <c r="D10" i="15"/>
  <c r="E35" i="15"/>
  <c r="O70" i="4"/>
  <c r="K26" i="9"/>
  <c r="D65" i="14"/>
  <c r="D10" i="20" s="1"/>
  <c r="D39" i="15"/>
  <c r="O73" i="4" s="1"/>
  <c r="I71" i="4" s="1"/>
  <c r="C39" i="15"/>
  <c r="E32" i="9"/>
  <c r="O25" i="9"/>
  <c r="O27" i="9" s="1"/>
  <c r="D127" i="4"/>
  <c r="C128" i="4"/>
  <c r="C126" i="4"/>
  <c r="E32" i="21" l="1"/>
  <c r="D12" i="22" s="1"/>
  <c r="C19" i="17"/>
  <c r="D46" i="19"/>
  <c r="E62" i="21"/>
  <c r="F62" i="21" s="1"/>
  <c r="D71" i="21"/>
  <c r="E71" i="21" s="1"/>
  <c r="D11" i="15"/>
  <c r="H15" i="22"/>
  <c r="H16" i="22" s="1"/>
  <c r="H17" i="22" s="1"/>
  <c r="H18" i="22" s="1"/>
  <c r="D40" i="21"/>
  <c r="D11" i="22"/>
  <c r="F11" i="22"/>
  <c r="F36" i="21"/>
  <c r="D20" i="19"/>
  <c r="D71" i="19"/>
  <c r="E30" i="20"/>
  <c r="E25" i="20"/>
  <c r="E26" i="20"/>
  <c r="F41" i="19"/>
  <c r="G32" i="19"/>
  <c r="F32" i="19"/>
  <c r="D22" i="15"/>
  <c r="I22" i="15" s="1"/>
  <c r="F22" i="15" s="1"/>
  <c r="F18" i="15"/>
  <c r="D20" i="15"/>
  <c r="I20" i="15" s="1"/>
  <c r="F20" i="15" s="1"/>
  <c r="D19" i="15"/>
  <c r="I19" i="15" s="1"/>
  <c r="F19" i="15" s="1"/>
  <c r="D21" i="15"/>
  <c r="I21" i="15" s="1"/>
  <c r="F21" i="15" s="1"/>
  <c r="D23" i="15"/>
  <c r="I23" i="15" s="1"/>
  <c r="F23" i="15" s="1"/>
  <c r="F91" i="19"/>
  <c r="F40" i="19"/>
  <c r="F36" i="19"/>
  <c r="F78" i="19"/>
  <c r="H93" i="19"/>
  <c r="F27" i="19"/>
  <c r="H43" i="19"/>
  <c r="F30" i="19"/>
  <c r="F37" i="19"/>
  <c r="F33" i="19"/>
  <c r="F83" i="19"/>
  <c r="F34" i="19"/>
  <c r="F84" i="19"/>
  <c r="F31" i="19"/>
  <c r="F80" i="19"/>
  <c r="E44" i="15"/>
  <c r="E38" i="15"/>
  <c r="G32" i="9"/>
  <c r="G35" i="9" s="1"/>
  <c r="E35" i="9"/>
  <c r="P26" i="9"/>
  <c r="O26" i="9"/>
  <c r="E39" i="15"/>
  <c r="C37" i="15"/>
  <c r="C41" i="15" s="1"/>
  <c r="C64" i="14"/>
  <c r="D37" i="15"/>
  <c r="I26" i="15" s="1"/>
  <c r="F26" i="15" s="1"/>
  <c r="E24" i="21" s="1"/>
  <c r="N73" i="4"/>
  <c r="E65" i="14"/>
  <c r="E10" i="20" s="1"/>
  <c r="D126" i="4"/>
  <c r="C125" i="4"/>
  <c r="D125" i="4" s="1"/>
  <c r="D128" i="4"/>
  <c r="C129" i="4"/>
  <c r="D129" i="4" s="1"/>
  <c r="M134" i="4"/>
  <c r="P127" i="4"/>
  <c r="F32" i="21" l="1"/>
  <c r="G32" i="21" s="1"/>
  <c r="F71" i="21"/>
  <c r="H71" i="21"/>
  <c r="D12" i="15"/>
  <c r="E40" i="21"/>
  <c r="F40" i="21" s="1"/>
  <c r="I40" i="21" s="1"/>
  <c r="G52" i="21" s="1"/>
  <c r="I36" i="21"/>
  <c r="G36" i="21"/>
  <c r="J36" i="4"/>
  <c r="E9" i="21"/>
  <c r="F13" i="22"/>
  <c r="J35" i="4"/>
  <c r="E8" i="21"/>
  <c r="I32" i="21"/>
  <c r="D13" i="22"/>
  <c r="D22" i="19"/>
  <c r="F16" i="19"/>
  <c r="F15" i="19"/>
  <c r="C67" i="14"/>
  <c r="C9" i="20"/>
  <c r="F66" i="19"/>
  <c r="D73" i="19"/>
  <c r="F67" i="19"/>
  <c r="H19" i="15"/>
  <c r="I24" i="15"/>
  <c r="F24" i="15" s="1"/>
  <c r="D24" i="21" s="1"/>
  <c r="F24" i="21" s="1"/>
  <c r="I52" i="21" s="1"/>
  <c r="F43" i="19"/>
  <c r="D21" i="21" s="1"/>
  <c r="F93" i="19"/>
  <c r="D22" i="21" s="1"/>
  <c r="D41" i="15"/>
  <c r="O74" i="4"/>
  <c r="O75" i="4" s="1"/>
  <c r="E37" i="15"/>
  <c r="I70" i="4"/>
  <c r="I73" i="4" s="1"/>
  <c r="F66" i="4" s="1"/>
  <c r="D64" i="14"/>
  <c r="D9" i="20" s="1"/>
  <c r="D12" i="20" s="1"/>
  <c r="H32" i="9"/>
  <c r="H35" i="9"/>
  <c r="M71" i="4"/>
  <c r="T126" i="4" s="1"/>
  <c r="O134" i="4"/>
  <c r="P129" i="4"/>
  <c r="P128" i="4"/>
  <c r="N134" i="4"/>
  <c r="P125" i="4"/>
  <c r="K134" i="4"/>
  <c r="L134" i="4"/>
  <c r="P126" i="4"/>
  <c r="C36" i="4" l="1"/>
  <c r="F36" i="4" s="1"/>
  <c r="H42" i="22"/>
  <c r="H44" i="22" s="1"/>
  <c r="H12" i="21"/>
  <c r="J12" i="15"/>
  <c r="N38" i="4" s="1"/>
  <c r="F35" i="15"/>
  <c r="F12" i="21"/>
  <c r="D30" i="15"/>
  <c r="J38" i="4"/>
  <c r="C38" i="4" s="1"/>
  <c r="F19" i="19"/>
  <c r="F18" i="19"/>
  <c r="D33" i="21" s="1"/>
  <c r="C24" i="20"/>
  <c r="D24" i="20" s="1"/>
  <c r="E24" i="20" s="1"/>
  <c r="E27" i="20" s="1"/>
  <c r="C12" i="20"/>
  <c r="C27" i="20" s="1"/>
  <c r="D27" i="20" s="1"/>
  <c r="F70" i="19"/>
  <c r="F69" i="19"/>
  <c r="D37" i="21" s="1"/>
  <c r="N74" i="4"/>
  <c r="N75" i="4" s="1"/>
  <c r="D67" i="14"/>
  <c r="K31" i="19"/>
  <c r="K33" i="19" s="1"/>
  <c r="F46" i="19" s="1"/>
  <c r="K82" i="19"/>
  <c r="K84" i="19" s="1"/>
  <c r="F96" i="19" s="1"/>
  <c r="I28" i="15"/>
  <c r="G82" i="19"/>
  <c r="G84" i="19"/>
  <c r="E100" i="4"/>
  <c r="D66" i="4"/>
  <c r="E41" i="15"/>
  <c r="F41" i="15"/>
  <c r="E64" i="14"/>
  <c r="T125" i="4"/>
  <c r="T128" i="4"/>
  <c r="T129" i="4"/>
  <c r="T127" i="4"/>
  <c r="M125" i="4"/>
  <c r="M126" i="4" s="1"/>
  <c r="M127" i="4" s="1"/>
  <c r="M128" i="4" s="1"/>
  <c r="M129" i="4" s="1"/>
  <c r="F38" i="15" l="1"/>
  <c r="F44" i="15"/>
  <c r="F37" i="15"/>
  <c r="F39" i="15"/>
  <c r="D52" i="21"/>
  <c r="E52" i="21" s="1"/>
  <c r="C39" i="4"/>
  <c r="C26" i="17" s="1"/>
  <c r="F15" i="22"/>
  <c r="D15" i="22"/>
  <c r="H46" i="19"/>
  <c r="H49" i="19" s="1"/>
  <c r="E21" i="21"/>
  <c r="F21" i="21" s="1"/>
  <c r="I49" i="21" s="1"/>
  <c r="D42" i="22" s="1"/>
  <c r="G70" i="19"/>
  <c r="E37" i="21"/>
  <c r="F16" i="22" s="1"/>
  <c r="F23" i="22" s="1"/>
  <c r="F26" i="22" s="1"/>
  <c r="G19" i="19"/>
  <c r="D10" i="14" s="1"/>
  <c r="E33" i="21"/>
  <c r="D16" i="22" s="1"/>
  <c r="D23" i="22" s="1"/>
  <c r="D26" i="22" s="1"/>
  <c r="H96" i="19"/>
  <c r="H99" i="19" s="1"/>
  <c r="E22" i="21"/>
  <c r="F22" i="21" s="1"/>
  <c r="I50" i="21" s="1"/>
  <c r="F42" i="22" s="1"/>
  <c r="F20" i="19"/>
  <c r="G18" i="19"/>
  <c r="F71" i="19"/>
  <c r="G69" i="19"/>
  <c r="G71" i="19" s="1"/>
  <c r="E67" i="14"/>
  <c r="E9" i="20"/>
  <c r="E12" i="20" s="1"/>
  <c r="G40" i="19"/>
  <c r="G79" i="19"/>
  <c r="G36" i="19"/>
  <c r="G81" i="19"/>
  <c r="G30" i="19"/>
  <c r="G92" i="19"/>
  <c r="G85" i="19"/>
  <c r="G31" i="19"/>
  <c r="G96" i="19"/>
  <c r="F28" i="15"/>
  <c r="E58" i="4" s="1"/>
  <c r="F30" i="15"/>
  <c r="G23" i="15"/>
  <c r="G24" i="15"/>
  <c r="G18" i="15"/>
  <c r="G26" i="15"/>
  <c r="G22" i="15"/>
  <c r="G20" i="15"/>
  <c r="G19" i="15"/>
  <c r="G21" i="15"/>
  <c r="G78" i="19" l="1"/>
  <c r="G89" i="19"/>
  <c r="G88" i="19"/>
  <c r="G27" i="19"/>
  <c r="G39" i="19"/>
  <c r="G90" i="19"/>
  <c r="G46" i="19"/>
  <c r="F49" i="19"/>
  <c r="E56" i="4" s="1"/>
  <c r="F56" i="4" s="1"/>
  <c r="D56" i="4" s="1"/>
  <c r="G29" i="19"/>
  <c r="G42" i="19"/>
  <c r="G38" i="19"/>
  <c r="G34" i="19"/>
  <c r="G37" i="19"/>
  <c r="G80" i="19"/>
  <c r="G93" i="19"/>
  <c r="G87" i="19"/>
  <c r="F99" i="19"/>
  <c r="E57" i="4" s="1"/>
  <c r="F57" i="4" s="1"/>
  <c r="D57" i="4" s="1"/>
  <c r="J24" i="21"/>
  <c r="H24" i="21"/>
  <c r="F39" i="4"/>
  <c r="E39" i="4"/>
  <c r="H52" i="21"/>
  <c r="J52" i="21" s="1"/>
  <c r="G43" i="19"/>
  <c r="G28" i="19"/>
  <c r="F37" i="21"/>
  <c r="I37" i="21" s="1"/>
  <c r="I38" i="21" s="1"/>
  <c r="F33" i="21"/>
  <c r="K36" i="4"/>
  <c r="M36" i="4" s="1"/>
  <c r="F9" i="21"/>
  <c r="D17" i="22"/>
  <c r="D18" i="22" s="1"/>
  <c r="D22" i="22"/>
  <c r="K35" i="4"/>
  <c r="M35" i="4" s="1"/>
  <c r="F8" i="21"/>
  <c r="F17" i="22"/>
  <c r="F18" i="22" s="1"/>
  <c r="F22" i="22"/>
  <c r="G20" i="19"/>
  <c r="D9" i="14"/>
  <c r="D11" i="14" s="1"/>
  <c r="F62" i="14" s="1"/>
  <c r="H73" i="19"/>
  <c r="G73" i="19"/>
  <c r="H70" i="19"/>
  <c r="H69" i="19"/>
  <c r="E73" i="19"/>
  <c r="C15" i="16"/>
  <c r="C17" i="16" s="1"/>
  <c r="C13" i="17"/>
  <c r="E99" i="4" l="1"/>
  <c r="C37" i="4"/>
  <c r="C84" i="4" s="1"/>
  <c r="F38" i="21"/>
  <c r="H8" i="21"/>
  <c r="G8" i="21"/>
  <c r="G9" i="21"/>
  <c r="H9" i="21"/>
  <c r="F25" i="22"/>
  <c r="F27" i="22" s="1"/>
  <c r="F24" i="22"/>
  <c r="G23" i="22" s="1"/>
  <c r="D25" i="22"/>
  <c r="D27" i="22" s="1"/>
  <c r="D24" i="22"/>
  <c r="E23" i="22" s="1"/>
  <c r="I33" i="21"/>
  <c r="I34" i="21" s="1"/>
  <c r="F34" i="21"/>
  <c r="H58" i="21" s="1"/>
  <c r="G50" i="21"/>
  <c r="G22" i="19"/>
  <c r="H19" i="19"/>
  <c r="H22" i="19"/>
  <c r="H18" i="19"/>
  <c r="E22" i="19"/>
  <c r="I73" i="19"/>
  <c r="N36" i="4" s="1"/>
  <c r="D101" i="19"/>
  <c r="F66" i="14"/>
  <c r="F11" i="20" s="1"/>
  <c r="F7" i="20"/>
  <c r="C24" i="17"/>
  <c r="D24" i="17"/>
  <c r="F69" i="14"/>
  <c r="F65" i="14"/>
  <c r="F10" i="20" s="1"/>
  <c r="F64" i="14"/>
  <c r="F9" i="20" s="1"/>
  <c r="F67" i="14"/>
  <c r="F37" i="4" l="1"/>
  <c r="F86" i="4" s="1"/>
  <c r="C81" i="4"/>
  <c r="C86" i="4"/>
  <c r="C88" i="4" s="1"/>
  <c r="E22" i="22"/>
  <c r="G22" i="22"/>
  <c r="H62" i="21"/>
  <c r="H60" i="21"/>
  <c r="D29" i="22"/>
  <c r="D44" i="22" s="1"/>
  <c r="F31" i="22"/>
  <c r="J40" i="21"/>
  <c r="G49" i="21"/>
  <c r="G101" i="19"/>
  <c r="J22" i="21" s="1"/>
  <c r="H22" i="21"/>
  <c r="J38" i="21"/>
  <c r="D50" i="21"/>
  <c r="E50" i="21" s="1"/>
  <c r="H50" i="21" s="1"/>
  <c r="J50" i="21" s="1"/>
  <c r="O36" i="4"/>
  <c r="H31" i="22"/>
  <c r="F29" i="22"/>
  <c r="F44" i="22" s="1"/>
  <c r="D51" i="19"/>
  <c r="I22" i="19"/>
  <c r="N35" i="4" s="1"/>
  <c r="F22" i="20"/>
  <c r="F15" i="20"/>
  <c r="F12" i="20"/>
  <c r="D49" i="21" l="1"/>
  <c r="E49" i="21" s="1"/>
  <c r="O35" i="4"/>
  <c r="C35" i="4" s="1"/>
  <c r="I22" i="21"/>
  <c r="H46" i="22"/>
  <c r="H49" i="21"/>
  <c r="J49" i="21" s="1"/>
  <c r="K52" i="21" s="1"/>
  <c r="G51" i="19"/>
  <c r="J21" i="21" s="1"/>
  <c r="H21" i="21"/>
  <c r="F30" i="20"/>
  <c r="F25" i="20"/>
  <c r="F24" i="20"/>
  <c r="F26" i="20"/>
  <c r="I22" i="4"/>
  <c r="E20" i="4"/>
  <c r="C41" i="4" l="1"/>
  <c r="D35" i="4"/>
  <c r="F35" i="4" s="1"/>
  <c r="F46" i="22"/>
  <c r="I21" i="21"/>
  <c r="K50" i="21"/>
  <c r="F27" i="20"/>
  <c r="H50" i="4"/>
  <c r="I16" i="4"/>
  <c r="I18" i="4" s="1"/>
  <c r="F22" i="4"/>
  <c r="I21" i="4"/>
  <c r="C25" i="17"/>
  <c r="C27" i="17"/>
  <c r="G56" i="4"/>
  <c r="C115" i="4"/>
  <c r="D119" i="4" s="1"/>
  <c r="G61" i="4"/>
  <c r="G55" i="4"/>
  <c r="G66" i="4"/>
  <c r="G54" i="4"/>
  <c r="G63" i="4"/>
  <c r="G53" i="4"/>
  <c r="C23" i="17" l="1"/>
  <c r="C28" i="17"/>
  <c r="C100" i="4"/>
  <c r="C98" i="4"/>
  <c r="C80" i="4"/>
  <c r="C97" i="4"/>
  <c r="C92" i="4"/>
  <c r="C14" i="14" s="1"/>
  <c r="C118" i="4"/>
  <c r="D23" i="17" l="1"/>
  <c r="D29" i="17" s="1"/>
  <c r="F80" i="4"/>
  <c r="C20" i="14"/>
  <c r="C36" i="17"/>
  <c r="C31" i="17"/>
  <c r="C116" i="4" l="1"/>
  <c r="D80" i="4"/>
  <c r="E93" i="4"/>
  <c r="J54" i="4"/>
  <c r="C93" i="4" l="1"/>
  <c r="E95" i="4"/>
  <c r="C95" i="4" s="1"/>
  <c r="C34" i="17" s="1"/>
  <c r="G52" i="4"/>
  <c r="E96" i="4"/>
  <c r="C15" i="14" l="1"/>
  <c r="C17" i="14" s="1"/>
  <c r="C32" i="17"/>
  <c r="C96" i="4"/>
  <c r="C18" i="14" l="1"/>
  <c r="C35" i="17"/>
  <c r="G57" i="4"/>
  <c r="F58" i="4" l="1"/>
  <c r="D58" i="4" s="1"/>
  <c r="G58" i="4" l="1"/>
  <c r="M56" i="4"/>
  <c r="E101" i="4" l="1"/>
  <c r="F101" i="4" s="1"/>
  <c r="C99" i="4"/>
  <c r="C38" i="17" s="1"/>
  <c r="C101" i="4" l="1"/>
  <c r="C21" i="14" s="1"/>
  <c r="F60" i="4" l="1"/>
  <c r="G59" i="4"/>
  <c r="D60" i="4" l="1"/>
  <c r="G60" i="4"/>
  <c r="C37" i="17"/>
  <c r="C19" i="14" l="1"/>
  <c r="D25" i="17" l="1"/>
  <c r="F38" i="4"/>
  <c r="F84" i="4" s="1"/>
  <c r="D84" i="4" s="1"/>
  <c r="F41" i="4" l="1"/>
  <c r="G40" i="4" l="1"/>
  <c r="D41" i="4"/>
  <c r="D28" i="17" s="1"/>
  <c r="G34" i="4"/>
  <c r="G35" i="4"/>
  <c r="I58" i="4"/>
  <c r="G37" i="4"/>
  <c r="G36" i="4"/>
  <c r="D86" i="4"/>
  <c r="G38" i="4"/>
  <c r="F114" i="4" l="1"/>
  <c r="J132" i="4"/>
  <c r="C45" i="17"/>
  <c r="C28" i="14"/>
  <c r="F28" i="14" l="1"/>
  <c r="D21" i="16"/>
  <c r="C28" i="4"/>
  <c r="C29" i="4" s="1"/>
  <c r="I13" i="4" l="1"/>
  <c r="D29" i="4" s="1"/>
  <c r="I29" i="4"/>
  <c r="C23" i="16"/>
  <c r="D23" i="16" s="1"/>
  <c r="C14" i="17"/>
  <c r="C17" i="17" s="1"/>
  <c r="C16" i="17" s="1"/>
  <c r="I30" i="4" l="1"/>
  <c r="J29" i="4"/>
  <c r="J30" i="4" s="1"/>
  <c r="I19" i="4" l="1"/>
  <c r="C11" i="17" s="1"/>
  <c r="D62" i="4"/>
  <c r="F62" i="4" s="1"/>
  <c r="J31" i="4"/>
  <c r="F107" i="4"/>
  <c r="C46" i="4"/>
  <c r="E45" i="4" s="1"/>
  <c r="I63" i="4"/>
  <c r="N60" i="4" s="1"/>
  <c r="L61" i="4" l="1"/>
  <c r="S127" i="4"/>
  <c r="L129" i="4"/>
  <c r="S128" i="4"/>
  <c r="L126" i="4"/>
  <c r="L125" i="4"/>
  <c r="S129" i="4"/>
  <c r="S125" i="4"/>
  <c r="L128" i="4"/>
  <c r="L127" i="4"/>
  <c r="S126" i="4"/>
  <c r="G62" i="4"/>
  <c r="F64" i="4"/>
  <c r="I61" i="4" l="1"/>
  <c r="D64" i="4"/>
  <c r="G64" i="4"/>
  <c r="I62" i="4"/>
  <c r="N62" i="4" s="1"/>
  <c r="N64" i="4" s="1"/>
  <c r="E103" i="4"/>
  <c r="Q127" i="4"/>
  <c r="C117" i="4"/>
  <c r="Q128" i="4" l="1"/>
  <c r="R127" i="4"/>
  <c r="U127" i="4" s="1"/>
  <c r="Q125" i="4"/>
  <c r="Q126" i="4"/>
  <c r="D67" i="4"/>
  <c r="F67" i="4" s="1"/>
  <c r="N127" i="4"/>
  <c r="F103" i="4"/>
  <c r="C103" i="4"/>
  <c r="I64" i="4"/>
  <c r="V121" i="4"/>
  <c r="V122" i="4" l="1"/>
  <c r="Q129" i="4"/>
  <c r="R128" i="4"/>
  <c r="U128" i="4" s="1"/>
  <c r="C23" i="14"/>
  <c r="C39" i="17"/>
  <c r="R126" i="4"/>
  <c r="U126" i="4" s="1"/>
  <c r="G67" i="4"/>
  <c r="F68" i="4"/>
  <c r="R125" i="4"/>
  <c r="U125" i="4" s="1"/>
  <c r="N128" i="4"/>
  <c r="N126" i="4"/>
  <c r="K127" i="4"/>
  <c r="N129" i="4" l="1"/>
  <c r="K129" i="4" s="1"/>
  <c r="W129" i="4" s="1"/>
  <c r="X129" i="4" s="1"/>
  <c r="G129" i="4" s="1"/>
  <c r="K128" i="4"/>
  <c r="F127" i="4"/>
  <c r="E119" i="4" s="1"/>
  <c r="J127" i="4"/>
  <c r="E127" i="4"/>
  <c r="W127" i="4"/>
  <c r="X127" i="4" s="1"/>
  <c r="G127" i="4" s="1"/>
  <c r="R129" i="4"/>
  <c r="U129" i="4" s="1"/>
  <c r="N125" i="4"/>
  <c r="K125" i="4" s="1"/>
  <c r="K126" i="4"/>
  <c r="G68" i="4"/>
  <c r="G70" i="4" s="1"/>
  <c r="D68" i="4"/>
  <c r="E102" i="4"/>
  <c r="F70" i="4"/>
  <c r="F126" i="4" l="1"/>
  <c r="J126" i="4"/>
  <c r="E126" i="4"/>
  <c r="L135" i="4" s="1"/>
  <c r="W126" i="4"/>
  <c r="X126" i="4" s="1"/>
  <c r="G126" i="4" s="1"/>
  <c r="F128" i="4"/>
  <c r="J128" i="4"/>
  <c r="E128" i="4"/>
  <c r="N135" i="4" s="1"/>
  <c r="W128" i="4"/>
  <c r="X128" i="4" s="1"/>
  <c r="G128" i="4" s="1"/>
  <c r="H54" i="4"/>
  <c r="H58" i="4"/>
  <c r="H70" i="4"/>
  <c r="H57" i="4"/>
  <c r="H72" i="4"/>
  <c r="H53" i="4"/>
  <c r="D70" i="4"/>
  <c r="J55" i="4" s="1"/>
  <c r="F72" i="4"/>
  <c r="I59" i="4"/>
  <c r="I67" i="4" s="1"/>
  <c r="H59" i="4"/>
  <c r="H56" i="4"/>
  <c r="I57" i="4"/>
  <c r="H60" i="4"/>
  <c r="H52" i="4"/>
  <c r="H63" i="4"/>
  <c r="F88" i="4"/>
  <c r="D88" i="4" s="1"/>
  <c r="F78" i="4"/>
  <c r="H55" i="4"/>
  <c r="H61" i="4"/>
  <c r="H62" i="4"/>
  <c r="H64" i="4"/>
  <c r="C102" i="4"/>
  <c r="F102" i="4"/>
  <c r="F105" i="4" s="1"/>
  <c r="E105" i="4"/>
  <c r="D102" i="4" s="1"/>
  <c r="H68" i="4"/>
  <c r="J125" i="4"/>
  <c r="F125" i="4"/>
  <c r="E125" i="4"/>
  <c r="K135" i="4" s="1"/>
  <c r="W125" i="4"/>
  <c r="X125" i="4" s="1"/>
  <c r="G125" i="4" s="1"/>
  <c r="M135" i="4"/>
  <c r="I84" i="4"/>
  <c r="J84" i="4" s="1"/>
  <c r="K132" i="4"/>
  <c r="M132" i="4" s="1"/>
  <c r="J129" i="4"/>
  <c r="F129" i="4"/>
  <c r="E129" i="4"/>
  <c r="O135" i="4" s="1"/>
  <c r="C22" i="14" l="1"/>
  <c r="C26" i="14" s="1"/>
  <c r="C40" i="17"/>
  <c r="I24" i="4"/>
  <c r="C47" i="17"/>
  <c r="D72" i="4"/>
  <c r="G72" i="4"/>
  <c r="I76" i="4"/>
  <c r="F74" i="4" s="1"/>
  <c r="D99" i="4"/>
  <c r="C105" i="4"/>
  <c r="C107" i="4" s="1"/>
  <c r="C43" i="17" s="1"/>
  <c r="D96" i="4"/>
  <c r="D105" i="4"/>
  <c r="D100" i="4"/>
  <c r="D98" i="4"/>
  <c r="D95" i="4"/>
  <c r="D97" i="4"/>
  <c r="D101" i="4"/>
  <c r="D93" i="4"/>
  <c r="D32" i="17" s="1"/>
  <c r="D92" i="4"/>
  <c r="D31" i="17" s="1"/>
  <c r="D103" i="4"/>
  <c r="D78" i="4"/>
  <c r="F81" i="4"/>
  <c r="D81" i="4" s="1"/>
  <c r="D32" i="14" l="1"/>
  <c r="C49" i="17"/>
  <c r="I4" i="4"/>
  <c r="C41" i="17"/>
  <c r="D40" i="17" s="1"/>
  <c r="D18" i="14"/>
  <c r="D22" i="14"/>
  <c r="D17" i="14"/>
  <c r="D23" i="14"/>
  <c r="D19" i="14"/>
  <c r="D20" i="14"/>
  <c r="D21" i="14"/>
  <c r="C30" i="14"/>
  <c r="D41" i="17" l="1"/>
  <c r="D36" i="17"/>
  <c r="D35" i="17"/>
  <c r="D37" i="17"/>
  <c r="D34" i="17"/>
  <c r="D38" i="17"/>
  <c r="D39" i="17"/>
</calcChain>
</file>

<file path=xl/sharedStrings.xml><?xml version="1.0" encoding="utf-8"?>
<sst xmlns="http://schemas.openxmlformats.org/spreadsheetml/2006/main" count="967" uniqueCount="547">
  <si>
    <t xml:space="preserve">Calving Date </t>
  </si>
  <si>
    <t>$/Head</t>
  </si>
  <si>
    <t xml:space="preserve">Days After Breeding Season Delivered </t>
  </si>
  <si>
    <t>Credit for Cull Sales Per Bred Heifer</t>
  </si>
  <si>
    <t>Death Loss %</t>
  </si>
  <si>
    <t xml:space="preserve">  $/Month</t>
  </si>
  <si>
    <t>%</t>
  </si>
  <si>
    <t>Total Net Costs of Bred Heifer</t>
  </si>
  <si>
    <t>at delivered cost</t>
  </si>
  <si>
    <t xml:space="preserve">Cost of </t>
  </si>
  <si>
    <t>Total Gain</t>
  </si>
  <si>
    <t>Pounds</t>
  </si>
  <si>
    <t>Gain $/lb.</t>
  </si>
  <si>
    <t xml:space="preserve">Net margin over total cost </t>
  </si>
  <si>
    <t>Breeding, Pregnancy Testing % of Total Cost</t>
  </si>
  <si>
    <t>Breeding Total</t>
  </si>
  <si>
    <t>Weight</t>
  </si>
  <si>
    <t>Value $/Cwt</t>
  </si>
  <si>
    <t>Percent</t>
  </si>
  <si>
    <t>Per Breeding Culling Date and Percent</t>
  </si>
  <si>
    <t>Pre Breeding Culled Heifer</t>
  </si>
  <si>
    <t>Head</t>
  </si>
  <si>
    <t>Number of Heifers Exposed</t>
  </si>
  <si>
    <t>Head Culled</t>
  </si>
  <si>
    <t>Total Value</t>
  </si>
  <si>
    <t>Head Days</t>
  </si>
  <si>
    <t>Beginning to pre breeding culling</t>
  </si>
  <si>
    <t>Pre breeding culling through breeding and delivery</t>
  </si>
  <si>
    <t>Days</t>
  </si>
  <si>
    <t>Percent Pregnant and Net for Sale</t>
  </si>
  <si>
    <t>Culled Open Heifer Sale</t>
  </si>
  <si>
    <t>Operating Cost</t>
  </si>
  <si>
    <t>Feed and Grazing</t>
  </si>
  <si>
    <t xml:space="preserve">Other Cost </t>
  </si>
  <si>
    <t>Veterinary Medicine</t>
  </si>
  <si>
    <t>Annual Interest on (1/2) of Operating Cost</t>
  </si>
  <si>
    <t>Annual Operating Cost</t>
  </si>
  <si>
    <t>Ownership Costs</t>
  </si>
  <si>
    <t>Depreciation</t>
  </si>
  <si>
    <t>Average Annual Interest Cost*</t>
  </si>
  <si>
    <t>Annual Ownership Cost</t>
  </si>
  <si>
    <t>Wt. Lb./Hd.</t>
  </si>
  <si>
    <t>$/Cwt.</t>
  </si>
  <si>
    <t xml:space="preserve">  $/Head</t>
  </si>
  <si>
    <t xml:space="preserve">Bull Salvage Value </t>
  </si>
  <si>
    <t>Interest Rate Used</t>
  </si>
  <si>
    <t>*Average investment is cost plus salvage value divided by 2. or</t>
  </si>
  <si>
    <t>Sales Weight</t>
  </si>
  <si>
    <t>Starting Weight</t>
  </si>
  <si>
    <t>Net Gain</t>
  </si>
  <si>
    <t>ADG</t>
  </si>
  <si>
    <t>Annual Herd Bull Cost Calculator</t>
  </si>
  <si>
    <t>Gross Income</t>
  </si>
  <si>
    <t>Revenue</t>
  </si>
  <si>
    <t>$/Head Bred Heifer</t>
  </si>
  <si>
    <t>Total Cost</t>
  </si>
  <si>
    <t>Net Income per head</t>
  </si>
  <si>
    <r>
      <t xml:space="preserve">Bred Heifer Sales Price </t>
    </r>
    <r>
      <rPr>
        <sz val="10"/>
        <rFont val="Arial"/>
        <family val="2"/>
      </rPr>
      <t>(Gross price before delivery cost)</t>
    </r>
  </si>
  <si>
    <t>Delivery Date of Bred Heifers</t>
  </si>
  <si>
    <t>Weaning Age</t>
  </si>
  <si>
    <t>Breeding Age</t>
  </si>
  <si>
    <t>Calving Age</t>
  </si>
  <si>
    <t>Delivery Age</t>
  </si>
  <si>
    <t>Months old at delivery</t>
  </si>
  <si>
    <t>Months old at calving</t>
  </si>
  <si>
    <t>Months old at breeding</t>
  </si>
  <si>
    <t>Starting Date for Weaned Heifer Calf</t>
  </si>
  <si>
    <t xml:space="preserve">Breeding Date </t>
  </si>
  <si>
    <r>
      <t xml:space="preserve">Total Costs of All Heifers </t>
    </r>
    <r>
      <rPr>
        <b/>
        <sz val="10"/>
        <rFont val="Arial"/>
        <family val="2"/>
      </rPr>
      <t>(Heifer &amp; Production)</t>
    </r>
  </si>
  <si>
    <t xml:space="preserve">Total Grazing and Feeding Cost </t>
  </si>
  <si>
    <t>Delivery Weight of Bred Heifers</t>
  </si>
  <si>
    <t>Length of Breeding Season - Days</t>
  </si>
  <si>
    <t xml:space="preserve">            Head</t>
  </si>
  <si>
    <t>Description of the Production System</t>
  </si>
  <si>
    <t>Weaned or Purchased Heifer</t>
  </si>
  <si>
    <t>Heifer</t>
  </si>
  <si>
    <t>Description of Protocol</t>
  </si>
  <si>
    <t>Breeding Method</t>
  </si>
  <si>
    <t>Natural</t>
  </si>
  <si>
    <t xml:space="preserve">Natural </t>
  </si>
  <si>
    <t>Total</t>
  </si>
  <si>
    <t>Bull</t>
  </si>
  <si>
    <t>Pregnancy</t>
  </si>
  <si>
    <t>-</t>
  </si>
  <si>
    <t>Number of Head</t>
  </si>
  <si>
    <t xml:space="preserve">No. of </t>
  </si>
  <si>
    <t>Units</t>
  </si>
  <si>
    <t>$/Unit</t>
  </si>
  <si>
    <t>Female</t>
  </si>
  <si>
    <t>of Total</t>
  </si>
  <si>
    <t>Herd</t>
  </si>
  <si>
    <t>Pregnancy Test</t>
  </si>
  <si>
    <t>Other</t>
  </si>
  <si>
    <t>Straw</t>
  </si>
  <si>
    <t>Exposed</t>
  </si>
  <si>
    <t>`</t>
  </si>
  <si>
    <t xml:space="preserve">        Head</t>
  </si>
  <si>
    <t>Death Loss-% Purchase cost</t>
  </si>
  <si>
    <t>ROI</t>
  </si>
  <si>
    <t xml:space="preserve">  Interest </t>
  </si>
  <si>
    <t xml:space="preserve">Total </t>
  </si>
  <si>
    <t xml:space="preserve">  Credit for Cull Sales</t>
  </si>
  <si>
    <t xml:space="preserve">Total non breeding </t>
  </si>
  <si>
    <t xml:space="preserve">Per Head </t>
  </si>
  <si>
    <t>Marketed</t>
  </si>
  <si>
    <t>Percent of</t>
  </si>
  <si>
    <t>Total Costs</t>
  </si>
  <si>
    <t xml:space="preserve">  Feed &amp; Grazing </t>
  </si>
  <si>
    <t xml:space="preserve">  Total Cost Adjusted for Culls*</t>
  </si>
  <si>
    <t xml:space="preserve">  Process &amp; Health</t>
  </si>
  <si>
    <t>Over all Pregnancy</t>
  </si>
  <si>
    <t xml:space="preserve">Direct Production Cost </t>
  </si>
  <si>
    <t>Financing</t>
  </si>
  <si>
    <t>Total Financing</t>
  </si>
  <si>
    <t>Total Direct Costs</t>
  </si>
  <si>
    <t xml:space="preserve"> Culled Heifers - Before Breeding </t>
  </si>
  <si>
    <t xml:space="preserve"> Culled Open Heifers </t>
  </si>
  <si>
    <t>$/Head In</t>
  </si>
  <si>
    <t xml:space="preserve">Grazing and Feeding Cost </t>
  </si>
  <si>
    <t>Summary Analysis</t>
  </si>
  <si>
    <t xml:space="preserve"> Bred Heifers Delivery Cost</t>
  </si>
  <si>
    <t>Total Revenue - Net of Delivery Cost</t>
  </si>
  <si>
    <t xml:space="preserve">  Breeding System</t>
  </si>
  <si>
    <t>Summary of Cost Per Bred Heifer</t>
  </si>
  <si>
    <t xml:space="preserve">  Cost per Day</t>
  </si>
  <si>
    <t>Stand alone natural service cost per breeding cow.</t>
  </si>
  <si>
    <t>Total Cost, Number of Heifers and per Heifer Cost</t>
  </si>
  <si>
    <t>Total capital Required</t>
  </si>
  <si>
    <t>Interest Rate</t>
  </si>
  <si>
    <t xml:space="preserve">      Head</t>
  </si>
  <si>
    <t>Approximate Birth Date</t>
  </si>
  <si>
    <t>Culled at Preg. Testing</t>
  </si>
  <si>
    <t>Culled</t>
  </si>
  <si>
    <t>Annualized Return on Investment ROI</t>
  </si>
  <si>
    <t>Bangs, Pour-On Preg. Guard Vaccination</t>
  </si>
  <si>
    <t xml:space="preserve">Initial Processing </t>
  </si>
  <si>
    <t xml:space="preserve">  Initial Heifer Cost</t>
  </si>
  <si>
    <t>Number of Head Exposed</t>
  </si>
  <si>
    <t>Net Average Price of Bred Heifers</t>
  </si>
  <si>
    <t xml:space="preserve">  Other</t>
  </si>
  <si>
    <t>_______________________________</t>
  </si>
  <si>
    <t xml:space="preserve">  Adjusted Heifer Initial Cost*</t>
  </si>
  <si>
    <t xml:space="preserve">  *Initial Heifer Cost Minus Salvage Value of Culls.</t>
  </si>
  <si>
    <t>Annualized  Return on Investment (ROI)**</t>
  </si>
  <si>
    <t>**ROI is calculated by adding interest plus income divided annualized investment.</t>
  </si>
  <si>
    <t>Calculated Number of Pregnancies by Sex</t>
  </si>
  <si>
    <t xml:space="preserve">**Interest is not charged on operating or investment cost as it is included in the cost summary. </t>
  </si>
  <si>
    <t>Net Income (loss) per Bred Heifers ($/Hd.)</t>
  </si>
  <si>
    <t>Net Income (loss) Per Bred Heifer</t>
  </si>
  <si>
    <t>Total interest cost</t>
  </si>
  <si>
    <t>Bull Natural Service Interest</t>
  </si>
  <si>
    <t>Over all Pregnancy - Natural Service</t>
  </si>
  <si>
    <t>AI Price Difference per Head of Bred Heifers</t>
  </si>
  <si>
    <t>Conventional  (see sheet 3)</t>
  </si>
  <si>
    <t>Number of bulls entered in sheet 3 Conventional  Breeding Cost</t>
  </si>
  <si>
    <t xml:space="preserve">Conventional AI  Pregnancy Rate </t>
  </si>
  <si>
    <t>Interest Cost</t>
  </si>
  <si>
    <t>% of Adj. Cost*</t>
  </si>
  <si>
    <t>AI</t>
  </si>
  <si>
    <t>$/Hd. Exposed</t>
  </si>
  <si>
    <t xml:space="preserve">Per Breeding Culling Date </t>
  </si>
  <si>
    <t xml:space="preserve"> Weaning Through Breeding and Sale</t>
  </si>
  <si>
    <t>Age at first culling</t>
  </si>
  <si>
    <t>Age breeding</t>
  </si>
  <si>
    <t>Age at delivery</t>
  </si>
  <si>
    <t>Age at calving</t>
  </si>
  <si>
    <t xml:space="preserve">     Months</t>
  </si>
  <si>
    <t xml:space="preserve">  Breeding System </t>
  </si>
  <si>
    <t>Breeding System</t>
  </si>
  <si>
    <t>Per Exposed</t>
  </si>
  <si>
    <t>Bred Heifers</t>
  </si>
  <si>
    <t>Version</t>
  </si>
  <si>
    <t>Times Run Trough the Cute</t>
  </si>
  <si>
    <t>Added Labor for Chute Work</t>
  </si>
  <si>
    <t xml:space="preserve">   Head</t>
  </si>
  <si>
    <t xml:space="preserve">   % of TUC</t>
  </si>
  <si>
    <r>
      <t xml:space="preserve">Bred Heifer Sales Price </t>
    </r>
    <r>
      <rPr>
        <b/>
        <sz val="11"/>
        <rFont val="Arial"/>
        <family val="2"/>
      </rPr>
      <t>(Natural &amp; Bred AI)</t>
    </r>
  </si>
  <si>
    <t>Interest Rate %  &amp; Cost of (return to) Capital</t>
  </si>
  <si>
    <t>Indirect Costs</t>
  </si>
  <si>
    <t>Total Indirect Costs</t>
  </si>
  <si>
    <t>Total Costs for all Heifers (TUC)</t>
  </si>
  <si>
    <r>
      <t>Net Cost of</t>
    </r>
    <r>
      <rPr>
        <b/>
        <sz val="11"/>
        <rFont val="Arial"/>
        <family val="2"/>
      </rPr>
      <t xml:space="preserve"> Bred Replacement  Heifer</t>
    </r>
    <r>
      <rPr>
        <b/>
        <sz val="12"/>
        <rFont val="Arial"/>
        <family val="2"/>
      </rPr>
      <t xml:space="preserve"> (TUC)</t>
    </r>
  </si>
  <si>
    <r>
      <t xml:space="preserve">Total Bred Heifer Cost </t>
    </r>
    <r>
      <rPr>
        <b/>
        <sz val="11"/>
        <rFont val="Arial"/>
        <family val="2"/>
      </rPr>
      <t>(Adjusted for Culls) TUC</t>
    </r>
  </si>
  <si>
    <t xml:space="preserve">  Indirect Cost</t>
  </si>
  <si>
    <t xml:space="preserve"> Total Indirect Costs</t>
  </si>
  <si>
    <t>% of Total</t>
  </si>
  <si>
    <t>Weaned or Purchased Heifer - Head</t>
  </si>
  <si>
    <t>Per Head</t>
  </si>
  <si>
    <t>Annualized  Return on Investment (ROI)</t>
  </si>
  <si>
    <t xml:space="preserve">  Finance</t>
  </si>
  <si>
    <t xml:space="preserve">  Other Direct Costs</t>
  </si>
  <si>
    <t>Culled Open Heifer Date</t>
  </si>
  <si>
    <t>Freight $/Hd.</t>
  </si>
  <si>
    <t>Total $/Cwt. &gt;</t>
  </si>
  <si>
    <t>Weaned or Purchased Heifer - Weight</t>
  </si>
  <si>
    <t>Non Cattle Cost per Day</t>
  </si>
  <si>
    <t xml:space="preserve">Value of </t>
  </si>
  <si>
    <t xml:space="preserve">Culled Open </t>
  </si>
  <si>
    <r>
      <t xml:space="preserve">Cost of </t>
    </r>
    <r>
      <rPr>
        <b/>
        <sz val="8"/>
        <rFont val="Arial"/>
        <family val="2"/>
      </rPr>
      <t>not</t>
    </r>
    <r>
      <rPr>
        <sz val="8"/>
        <rFont val="Arial"/>
        <family val="2"/>
      </rPr>
      <t xml:space="preserve"> Getting</t>
    </r>
  </si>
  <si>
    <t>Notes</t>
  </si>
  <si>
    <t>Age when sold</t>
  </si>
  <si>
    <t>Date at End of Breeding Season</t>
  </si>
  <si>
    <t>Summary Report on Replacement Heifers Budget</t>
  </si>
  <si>
    <t>Other Indirect Costs Based on  Hd. In</t>
  </si>
  <si>
    <t>Net Income (loss) for All Heifers In</t>
  </si>
  <si>
    <t>Pregnancy Percent - AI</t>
  </si>
  <si>
    <t>Pregnancy Percent - Overall</t>
  </si>
  <si>
    <t>Days Owned - Start to Bred Delivery</t>
  </si>
  <si>
    <t xml:space="preserve">Total Start to Bred Delivery </t>
  </si>
  <si>
    <t>Capital Required Non Cattle Direct + Indirect cost</t>
  </si>
  <si>
    <t>Cattle Interest</t>
  </si>
  <si>
    <t>Cattle Capital</t>
  </si>
  <si>
    <t>Interest</t>
  </si>
  <si>
    <t>Bred Heifer</t>
  </si>
  <si>
    <t>Head In</t>
  </si>
  <si>
    <t>Includes Marketing Cost</t>
  </si>
  <si>
    <t>____________________________________________________________________________________________________________</t>
  </si>
  <si>
    <t>Weaned or Purchased Heifer Cost and Necessary Heifer Price to Achieve a Target Net Income</t>
  </si>
  <si>
    <t>Cost of Heifers In</t>
  </si>
  <si>
    <t xml:space="preserve">   Cost per Cwt.</t>
  </si>
  <si>
    <t xml:space="preserve">Bull &amp; </t>
  </si>
  <si>
    <t>Operating</t>
  </si>
  <si>
    <t>Interest cost</t>
  </si>
  <si>
    <t>Interest $/Hd.</t>
  </si>
  <si>
    <t xml:space="preserve">    Cost/Head</t>
  </si>
  <si>
    <t>Cost in</t>
  </si>
  <si>
    <t>Price Out</t>
  </si>
  <si>
    <t>Sales of Bred Heifers - Head</t>
  </si>
  <si>
    <t>Cull Sales Adjustment in Cost</t>
  </si>
  <si>
    <r>
      <t xml:space="preserve">Production Cost </t>
    </r>
    <r>
      <rPr>
        <sz val="11"/>
        <rFont val="Arial"/>
        <family val="2"/>
      </rPr>
      <t>(non-cattle or finance)</t>
    </r>
  </si>
  <si>
    <t>Cost of Heifer Calf Interval of Change</t>
  </si>
  <si>
    <t>Necessary</t>
  </si>
  <si>
    <t>Cattle</t>
  </si>
  <si>
    <t>Adjusted</t>
  </si>
  <si>
    <t>Days Adjusted</t>
  </si>
  <si>
    <t>Investment</t>
  </si>
  <si>
    <t>Per Cow&amp; Total</t>
  </si>
  <si>
    <t>**ROI is calculated by adding interest plus income divided annualized invest.</t>
  </si>
  <si>
    <t>Added in bulls M68</t>
  </si>
  <si>
    <t>Interest cost per cow Exposed</t>
  </si>
  <si>
    <t>Check Interest</t>
  </si>
  <si>
    <t xml:space="preserve">Weaned </t>
  </si>
  <si>
    <t xml:space="preserve">Percent of  </t>
  </si>
  <si>
    <t>Production</t>
  </si>
  <si>
    <r>
      <t xml:space="preserve">Total Natural Service Breeding Non Interest Cost </t>
    </r>
    <r>
      <rPr>
        <sz val="10"/>
        <rFont val="Arial"/>
        <family val="2"/>
      </rPr>
      <t>(see bull sheet)</t>
    </r>
  </si>
  <si>
    <t>Bull Invest.</t>
  </si>
  <si>
    <t>Costs Investment</t>
  </si>
  <si>
    <t>Delivery Cost Check</t>
  </si>
  <si>
    <t>Error Check</t>
  </si>
  <si>
    <t>Non Cattle Cost per Head Day</t>
  </si>
  <si>
    <t>Net $/Head</t>
  </si>
  <si>
    <t>Days Per Head Marketed bred or open</t>
  </si>
  <si>
    <t xml:space="preserve"> Target</t>
  </si>
  <si>
    <t>Bred Heifer Delivery Cost</t>
  </si>
  <si>
    <t>Net Price*</t>
  </si>
  <si>
    <t>Base Heifer Cost &amp; Necessary Price for Target*</t>
  </si>
  <si>
    <r>
      <t xml:space="preserve">Bred Heifer Net Income </t>
    </r>
    <r>
      <rPr>
        <b/>
        <sz val="12"/>
        <rFont val="Arial"/>
        <family val="2"/>
      </rPr>
      <t xml:space="preserve">Target </t>
    </r>
    <r>
      <rPr>
        <sz val="12"/>
        <rFont val="Arial"/>
        <family val="2"/>
      </rPr>
      <t>$/Head</t>
    </r>
  </si>
  <si>
    <t>Average Daily Gain - Lb./Day</t>
  </si>
  <si>
    <t>% of TUC</t>
  </si>
  <si>
    <r>
      <t>Direct Expenses</t>
    </r>
    <r>
      <rPr>
        <sz val="11"/>
        <rFont val="Times New Roman"/>
        <family val="1"/>
      </rPr>
      <t xml:space="preserve"> are expense items that are directly related to production activity such as grazing, feed, seed, fertilizer, land rent, health, breeding and replacement heifer costs. These expenses increase as the number of replacement heifers increase.</t>
    </r>
  </si>
  <si>
    <r>
      <t xml:space="preserve">Indirect Costs </t>
    </r>
    <r>
      <rPr>
        <sz val="11"/>
        <rFont val="Times New Roman"/>
        <family val="1"/>
      </rPr>
      <t>are</t>
    </r>
    <r>
      <rPr>
        <b/>
        <sz val="11"/>
        <rFont val="Times New Roman"/>
        <family val="1"/>
      </rPr>
      <t xml:space="preserve"> </t>
    </r>
    <r>
      <rPr>
        <sz val="11"/>
        <rFont val="Times New Roman"/>
        <family val="1"/>
      </rPr>
      <t>the costs that don’t change as the number of cattle increase. Depreciation, repair, maintenance, of the vehicles, machinery and equipment, labor and management, utilities, property tax are examples of indirect costs</t>
    </r>
    <r>
      <rPr>
        <b/>
        <sz val="11"/>
        <rFont val="Times New Roman"/>
        <family val="1"/>
      </rPr>
      <t>. General and administrative costs</t>
    </r>
    <r>
      <rPr>
        <sz val="11"/>
        <rFont val="Times New Roman"/>
        <family val="1"/>
      </rPr>
      <t xml:space="preserve"> are indirect cost that all business incurs to cover book keeping, professional fees, insurance, office supplies, computer services, phone and other utilities cost. Administrative cost includes the salary and payroll for hired or owner management. There is management time spent on planning, implementation and marketing issues for the replacement heifers.</t>
    </r>
  </si>
  <si>
    <t>Definitions</t>
  </si>
  <si>
    <t xml:space="preserve">  $/Bred Heif.</t>
  </si>
  <si>
    <t xml:space="preserve">   Revenue</t>
  </si>
  <si>
    <t>Total Unit Cost</t>
  </si>
  <si>
    <t>Total Pregnancies</t>
  </si>
  <si>
    <t>Enter Average Weight per Head</t>
  </si>
  <si>
    <t xml:space="preserve">   Weaned or Purchased Heifer $/Cwt.</t>
  </si>
  <si>
    <t xml:space="preserve">   Weaned or Purchased Heifer $/Head</t>
  </si>
  <si>
    <t xml:space="preserve"> &lt;--Total Months Fed and Grazed</t>
  </si>
  <si>
    <t>*Average price of AI and natural bred heifers. Minimal ROI is the interest rate used.</t>
  </si>
  <si>
    <t>Target ROI*</t>
  </si>
  <si>
    <t>Check Target</t>
  </si>
  <si>
    <t>Input Average Bred Heifer Price</t>
  </si>
  <si>
    <t>Check on Total Days</t>
  </si>
  <si>
    <t xml:space="preserve"> Indirect Cost - $/Head Day</t>
  </si>
  <si>
    <t>Includes Trick test</t>
  </si>
  <si>
    <t>Weaning Date of Calf</t>
  </si>
  <si>
    <t xml:space="preserve">    Net Target </t>
  </si>
  <si>
    <t xml:space="preserve">       Income</t>
  </si>
  <si>
    <t>Replacement Heifer Cost Definitions</t>
  </si>
  <si>
    <t>Bulls Required</t>
  </si>
  <si>
    <t>Heifer Exposed - Head</t>
  </si>
  <si>
    <t>Heifers per Bull</t>
  </si>
  <si>
    <t>Cannot have a fraction of a bull.</t>
  </si>
  <si>
    <t>Calculated Fraction</t>
  </si>
  <si>
    <t>_________________________________________________________________________________________________</t>
  </si>
  <si>
    <t>Head Required</t>
  </si>
  <si>
    <t>Per Bull</t>
  </si>
  <si>
    <t xml:space="preserve">   Total Cost</t>
  </si>
  <si>
    <t>Total for Bulls Required &amp; Costs</t>
  </si>
  <si>
    <t>Non Interest</t>
  </si>
  <si>
    <t>Exposed Females</t>
  </si>
  <si>
    <t>Average</t>
  </si>
  <si>
    <t>For Bulls Used</t>
  </si>
  <si>
    <t>Total Bull Investment</t>
  </si>
  <si>
    <t>Annual
 Bull Costs</t>
  </si>
  <si>
    <t xml:space="preserve">Total Days and Months Fed and Grazed </t>
  </si>
  <si>
    <t>Heifers/Bull</t>
  </si>
  <si>
    <t>Non-Interest</t>
  </si>
  <si>
    <t>Summary or Replacement Heifer Natural Service Bred</t>
  </si>
  <si>
    <t>Exposed heifers per bull</t>
  </si>
  <si>
    <t xml:space="preserve">Per Exposed </t>
  </si>
  <si>
    <t>Exposed Heif.</t>
  </si>
  <si>
    <t xml:space="preserve">           Bulls</t>
  </si>
  <si>
    <t>Bulls Cost</t>
  </si>
  <si>
    <t>Cost</t>
  </si>
  <si>
    <t>Average Investment and Total</t>
  </si>
  <si>
    <t xml:space="preserve">AI Bull Interest </t>
  </si>
  <si>
    <t>Choice---&gt;</t>
  </si>
  <si>
    <t>Interest Cost of Bulls</t>
  </si>
  <si>
    <t>Head of Bulls Required</t>
  </si>
  <si>
    <t>Non-Interest Cost</t>
  </si>
  <si>
    <t>Total Breeding System Cost</t>
  </si>
  <si>
    <t xml:space="preserve">  Breeding System Non-Interest</t>
  </si>
  <si>
    <t>Preconditioning</t>
  </si>
  <si>
    <t>Feeding and Grazing</t>
  </si>
  <si>
    <t>All between start and finishing date.</t>
  </si>
  <si>
    <t>Heifers  per Year Per Bull</t>
  </si>
  <si>
    <t>Non-Interest Bull Cost and Cost Per Head**</t>
  </si>
  <si>
    <t>Bull Purchase Cost including Freight</t>
  </si>
  <si>
    <t>Useful Life - Years</t>
  </si>
  <si>
    <t>Heifer per Head Service Cost</t>
  </si>
  <si>
    <t>Summary or Replacement Heifer AI Breeding Performance Costs and Net Margin</t>
  </si>
  <si>
    <t>Heifers per bull</t>
  </si>
  <si>
    <t>Overall Preg. %</t>
  </si>
  <si>
    <t>Bull interest</t>
  </si>
  <si>
    <t xml:space="preserve">     Average</t>
  </si>
  <si>
    <t>a Heifer Bred</t>
  </si>
  <si>
    <t>Other non-Breeding System</t>
  </si>
  <si>
    <t>Number of Head Exposed - Head</t>
  </si>
  <si>
    <t>Pre-Breeding Evaluation &amp; Selection</t>
  </si>
  <si>
    <t xml:space="preserve">          AI</t>
  </si>
  <si>
    <t>Used cleanup bulls for AI</t>
  </si>
  <si>
    <r>
      <rPr>
        <b/>
        <sz val="12"/>
        <color theme="1"/>
        <rFont val="Arial"/>
        <family val="2"/>
      </rPr>
      <t>Indirect Costs</t>
    </r>
    <r>
      <rPr>
        <sz val="12"/>
        <rFont val="Arial"/>
        <family val="2"/>
      </rPr>
      <t xml:space="preserve"> are the costs that don’t change as the number of cattle increase. Depreciation, repair, maintenance, of the vehicles, machinery and equipment, labor and management, utilities, property tax are examples of indirect costs. </t>
    </r>
    <r>
      <rPr>
        <b/>
        <sz val="12"/>
        <color theme="1"/>
        <rFont val="Arial"/>
        <family val="2"/>
      </rPr>
      <t>General and administrative costs</t>
    </r>
    <r>
      <rPr>
        <sz val="12"/>
        <rFont val="Arial"/>
        <family val="2"/>
      </rPr>
      <t xml:space="preserve"> are indirect cost that all business incurs to cover book keeping, professional fees, insurance, office supplies, computer services, phone and other utilities cost. Administrative cost includes the salary and payroll for hired or owner management. There is management time spent on planning, implementation and marketing issues for the replacement heifers.</t>
    </r>
  </si>
  <si>
    <r>
      <t xml:space="preserve">Total Unit Cost of Production (TUC) is a sum of </t>
    </r>
    <r>
      <rPr>
        <sz val="12"/>
        <rFont val="Arial"/>
        <family val="2"/>
      </rPr>
      <t xml:space="preserve">direct costs, indirect including the businesses general and administrative (G&amp;A) and finance costs. Having </t>
    </r>
    <r>
      <rPr>
        <b/>
        <sz val="12"/>
        <color theme="1"/>
        <rFont val="Arial"/>
        <family val="2"/>
      </rPr>
      <t>total unit cost</t>
    </r>
    <r>
      <rPr>
        <sz val="12"/>
        <rFont val="Arial"/>
        <family val="2"/>
      </rPr>
      <t xml:space="preserve"> is necessary to have a true measure of profitability. Having G&amp;A and actual interest cost will mean the replacement heifer profitability and TUC is consistent with the total business income statement or profit and loss (P&amp;L) statement.</t>
    </r>
  </si>
  <si>
    <r>
      <t xml:space="preserve">Annualized Net Return on Investment ROI </t>
    </r>
    <r>
      <rPr>
        <sz val="12"/>
        <rFont val="Arial"/>
        <family val="2"/>
      </rPr>
      <t>is the annualized return on investment is the net income plus interest cost divided by annualized capital investment requirement to support the enterprise.  The reason interest is added back is interest paid represents a return the debt capital. ROI is a return to capital invested irrespective of capital ownership. Capital is adjusted for the time cattle are grazed or fed. Investment required is estimated by taking one half of the investment is non-cattle costs plus the total payweight cost of the cattle times days on feed divided by 365 days. ROI % = ((net income + Interest)/annualized Investment)*100</t>
    </r>
  </si>
  <si>
    <r>
      <rPr>
        <b/>
        <sz val="12"/>
        <color theme="1"/>
        <rFont val="Arial"/>
        <family val="2"/>
      </rPr>
      <t>Direct Expenses</t>
    </r>
    <r>
      <rPr>
        <sz val="12"/>
        <rFont val="Arial"/>
        <family val="2"/>
      </rPr>
      <t xml:space="preserve"> are expense items that are directly related to production activity such as grazing, feed, seed, fertilizer, land rent, health, breeding and replacement heifer costs. These expenses increase as the number of replacement heifers increase.</t>
    </r>
  </si>
  <si>
    <r>
      <rPr>
        <b/>
        <sz val="12"/>
        <rFont val="Arial"/>
        <family val="2"/>
      </rPr>
      <t xml:space="preserve">Owner Operator Labor and Management </t>
    </r>
    <r>
      <rPr>
        <sz val="12"/>
        <rFont val="Arial"/>
        <family val="2"/>
      </rPr>
      <t>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Owner manager costs need to be included in production costs. Leaving it out implies the owner works for nothing.</t>
    </r>
  </si>
  <si>
    <t xml:space="preserve">  Hd. Bred</t>
  </si>
  <si>
    <t>Hd. Exposed</t>
  </si>
  <si>
    <t>Average/Hd. InvestmentFor cows exposed</t>
  </si>
  <si>
    <t>Total Bull Average Investment</t>
  </si>
  <si>
    <t>Expected Pregnancy from Conventional AI</t>
  </si>
  <si>
    <t>Gender</t>
  </si>
  <si>
    <t xml:space="preserve">  Total Hd.</t>
  </si>
  <si>
    <t>Open Heifers</t>
  </si>
  <si>
    <t>Heifers Bred and Overall Pregnancy</t>
  </si>
  <si>
    <t>Breeding System Costs</t>
  </si>
  <si>
    <t>Pelvic Measure and Exam.</t>
  </si>
  <si>
    <t>Bulls</t>
  </si>
  <si>
    <t>Estro Tech Patch</t>
  </si>
  <si>
    <t>Bull investment interest</t>
  </si>
  <si>
    <t>Times</t>
  </si>
  <si>
    <t>Added Labor for Heat Detections</t>
  </si>
  <si>
    <t>Breeding Fee AI Technician</t>
  </si>
  <si>
    <t>Total AI Exposed &amp; Breeding Cost</t>
  </si>
  <si>
    <t xml:space="preserve">Females/Bull </t>
  </si>
  <si>
    <t>Bulls Head</t>
  </si>
  <si>
    <t>Natural Service Clean Up Bull Cost</t>
  </si>
  <si>
    <t>Conventional AI &amp; Clean Up Bulls</t>
  </si>
  <si>
    <t>Cost per Exposed Heifer and Total Cost*</t>
  </si>
  <si>
    <t>Breeding System Cost Per Bred Female*</t>
  </si>
  <si>
    <t xml:space="preserve">*Does not include operating interest cost for breeding costs. </t>
  </si>
  <si>
    <t>__________________________________________________________________________________________________</t>
  </si>
  <si>
    <t>Interest Oper.</t>
  </si>
  <si>
    <t>Interest Inv..</t>
  </si>
  <si>
    <t>Breeding Cost if Using Conventional with Heat Detection</t>
  </si>
  <si>
    <t>Breeding Cost if Using Conventional with Timed AI</t>
  </si>
  <si>
    <t>Bull Investment Interest</t>
  </si>
  <si>
    <t>Total Natural Service Breeding Cost</t>
  </si>
  <si>
    <t>Natural Service Bull Cost</t>
  </si>
  <si>
    <t>Interest on Bull Investment</t>
  </si>
  <si>
    <t>_____________________________________________________________________________________________________________________</t>
  </si>
  <si>
    <t xml:space="preserve">       Bulls</t>
  </si>
  <si>
    <t xml:space="preserve">        Heifers</t>
  </si>
  <si>
    <t>In Operating Cost Interest Cost Calculation</t>
  </si>
  <si>
    <t>Total Bull</t>
  </si>
  <si>
    <t xml:space="preserve">     Average Investment</t>
  </si>
  <si>
    <t xml:space="preserve">Exposed </t>
  </si>
  <si>
    <t xml:space="preserve">    Heifer</t>
  </si>
  <si>
    <t xml:space="preserve">     Per Bred </t>
  </si>
  <si>
    <t>Total Bull Breeding Cost*</t>
  </si>
  <si>
    <t>Synchronization Used - Heat Detection =1 or Timed AI=2</t>
  </si>
  <si>
    <t>Other Costs Based on Heifers Exposed</t>
  </si>
  <si>
    <t>Bull interest on operating cost  per female exposed.</t>
  </si>
  <si>
    <t>Clean Up</t>
  </si>
  <si>
    <t>Herd Bulls Used</t>
  </si>
  <si>
    <t>Heifers Per Bull and Bulls Used</t>
  </si>
  <si>
    <t>Heifers</t>
  </si>
  <si>
    <t>Days between starting and delivery</t>
  </si>
  <si>
    <t>From Natural Service Bred Heifer System</t>
  </si>
  <si>
    <t>Bred Heifers Delivery Cost</t>
  </si>
  <si>
    <t>Revenue Difference Between Exposed Open &amp; Bred</t>
  </si>
  <si>
    <t xml:space="preserve">    % of Adj. Cost*</t>
  </si>
  <si>
    <t xml:space="preserve">  Bull Finance</t>
  </si>
  <si>
    <t>For Bulls</t>
  </si>
  <si>
    <t>Per Exposed Heif.</t>
  </si>
  <si>
    <t>Per Bred Heif.</t>
  </si>
  <si>
    <t>Non Interest Operating Cost</t>
  </si>
  <si>
    <t>Interest Operating Costs</t>
  </si>
  <si>
    <t xml:space="preserve">Bull Investment Interest </t>
  </si>
  <si>
    <t xml:space="preserve">     Bulls Cost</t>
  </si>
  <si>
    <t>*Average investment is cost plus salvage value divided by 2.</t>
  </si>
  <si>
    <t>Average Investment and Total*</t>
  </si>
  <si>
    <t>Conventional AI Clean Up Bull Investment and Costs</t>
  </si>
  <si>
    <t>Natural Service Herd Bull Investment and Costs</t>
  </si>
  <si>
    <t>_______________________________________________________________</t>
  </si>
  <si>
    <t>Clean Up and Herd Bull Investment and Costs Summary</t>
  </si>
  <si>
    <t>-----------------------------------------------------------------------------------------------------------------</t>
  </si>
  <si>
    <t>Bull Investment Data Used in Projections - See sheet 6.</t>
  </si>
  <si>
    <t>________________________________________</t>
  </si>
  <si>
    <t>Sexed Semen Herd Reproduction Rate and Breeding Cost by Synchronization System</t>
  </si>
  <si>
    <t>Heat Detection AI With Sexed Semen</t>
  </si>
  <si>
    <t>Description of Heat Detection Protocol</t>
  </si>
  <si>
    <t xml:space="preserve">Gender Chosen (Bull or Heifer)  </t>
  </si>
  <si>
    <t>Accuracy of Sex Selection %</t>
  </si>
  <si>
    <t>Number of AI Heifers - Head</t>
  </si>
  <si>
    <t>Number of Pregnancies by Gender</t>
  </si>
  <si>
    <t>Percent AI</t>
  </si>
  <si>
    <t>------------------------------------------------------------------------------------------------------------------------------------------------------------------------------</t>
  </si>
  <si>
    <t>Timed AI With Sexed Semen</t>
  </si>
  <si>
    <t>Sexed Semen Cost</t>
  </si>
  <si>
    <t>Sexed Semen Artificial Inseminated (AI) Bred Replacement Heifer Budget</t>
  </si>
  <si>
    <t xml:space="preserve">Sexed Semen Artificial Inseminated (AI) Bred Replacement Heifer Production Cost and ROI </t>
  </si>
  <si>
    <t xml:space="preserve"> AI Exposed &amp; AI Bred Heifers</t>
  </si>
  <si>
    <t xml:space="preserve"> Natural Service Exposed and Bred Heifers</t>
  </si>
  <si>
    <t>Bred Heifer Sales Summary</t>
  </si>
  <si>
    <t>AI Bred Heifer</t>
  </si>
  <si>
    <t>Natural Service AI Exposed</t>
  </si>
  <si>
    <t xml:space="preserve">         Total</t>
  </si>
  <si>
    <t xml:space="preserve">Open Culls </t>
  </si>
  <si>
    <t xml:space="preserve">Culls - Synchronization Used </t>
  </si>
  <si>
    <t>Natural Service</t>
  </si>
  <si>
    <t xml:space="preserve"> Culled Open Heifers After AI</t>
  </si>
  <si>
    <t>Summary Of Replacement Heifer Breeding Performance and Costs by Breeding System</t>
  </si>
  <si>
    <t>Replacement Heifer Breeding Performance by Breeding System</t>
  </si>
  <si>
    <t xml:space="preserve">Overall </t>
  </si>
  <si>
    <t>Heifers Exposed</t>
  </si>
  <si>
    <t>% AI</t>
  </si>
  <si>
    <t xml:space="preserve">  Heat Detection</t>
  </si>
  <si>
    <t xml:space="preserve">  Timed AI</t>
  </si>
  <si>
    <t>________________________________________________________</t>
  </si>
  <si>
    <t>Breeding Costs for Replacement Heifers by Breeding System</t>
  </si>
  <si>
    <t xml:space="preserve">   Per Head of Heifers Exposed</t>
  </si>
  <si>
    <t xml:space="preserve">     Per Head of Heifers Bred</t>
  </si>
  <si>
    <t xml:space="preserve">Breeding </t>
  </si>
  <si>
    <t>Bull Cost</t>
  </si>
  <si>
    <t>Breeding Cost</t>
  </si>
  <si>
    <t>______</t>
  </si>
  <si>
    <t>Gender Bred Heifer and Projected Market Value by Breeding System</t>
  </si>
  <si>
    <t>Calf Gender Bred</t>
  </si>
  <si>
    <t>Bred</t>
  </si>
  <si>
    <t xml:space="preserve">Bred </t>
  </si>
  <si>
    <t>Market Value</t>
  </si>
  <si>
    <t>For Bull</t>
  </si>
  <si>
    <t>For Heifer</t>
  </si>
  <si>
    <t xml:space="preserve">      Total</t>
  </si>
  <si>
    <t xml:space="preserve">  Natural Service</t>
  </si>
  <si>
    <t>Over</t>
  </si>
  <si>
    <t>Base</t>
  </si>
  <si>
    <t>Gross Revenue, Breeding Cost and Margin Over Breeding Costs by Breeding System</t>
  </si>
  <si>
    <t>Margin Over</t>
  </si>
  <si>
    <t>Cull Open Heifers</t>
  </si>
  <si>
    <t>Market</t>
  </si>
  <si>
    <t xml:space="preserve">Total Gross </t>
  </si>
  <si>
    <t>Breeding</t>
  </si>
  <si>
    <t>Value</t>
  </si>
  <si>
    <t>Income</t>
  </si>
  <si>
    <t>Cost*</t>
  </si>
  <si>
    <t xml:space="preserve">     Head Open</t>
  </si>
  <si>
    <t>__________________________________________________________________________________________________________________________________________</t>
  </si>
  <si>
    <t xml:space="preserve"> AI Clean Up Bull Investment and Costs</t>
  </si>
  <si>
    <t>Bull Investment*</t>
  </si>
  <si>
    <t>Sexed Semen AI</t>
  </si>
  <si>
    <t>Open</t>
  </si>
  <si>
    <t>Description</t>
  </si>
  <si>
    <t xml:space="preserve">Sex Chosen (Bull or Heifer)  </t>
  </si>
  <si>
    <t xml:space="preserve">Heat </t>
  </si>
  <si>
    <t>Detection</t>
  </si>
  <si>
    <t>Timed AI</t>
  </si>
  <si>
    <t>Service</t>
  </si>
  <si>
    <t xml:space="preserve">Heifer Calf Bred - Hd. &amp; Gender % </t>
  </si>
  <si>
    <t>Potential Weaned Heifer - $/Hd</t>
  </si>
  <si>
    <t>Advantage of Heat Detection (Sexed Semen AI)</t>
  </si>
  <si>
    <t>Weaned Calves Weights and Values</t>
  </si>
  <si>
    <t>Difference</t>
  </si>
  <si>
    <t xml:space="preserve">    Heifers</t>
  </si>
  <si>
    <t>Breeding Cost and Net Margin Over Breeding Cost With Sales of Weaned Calves</t>
  </si>
  <si>
    <t xml:space="preserve">  Heifer</t>
  </si>
  <si>
    <t xml:space="preserve">  Bull-Steer</t>
  </si>
  <si>
    <t>Gross Revenue</t>
  </si>
  <si>
    <t>Net Margin Over Calf Value</t>
  </si>
  <si>
    <t>___________________________________________________</t>
  </si>
  <si>
    <t>Potential Gross Weaned Calf Revenue</t>
  </si>
  <si>
    <t xml:space="preserve">    Bulls-Steers</t>
  </si>
  <si>
    <t>__________________________________________</t>
  </si>
  <si>
    <t>Total Bred Heifers - Head</t>
  </si>
  <si>
    <t>Sexed Semen Pregnancy %</t>
  </si>
  <si>
    <t>Number of AI Heifers Exposed - Head</t>
  </si>
  <si>
    <t>Sexed Semen Pregnancy Rate % of Convention AI</t>
  </si>
  <si>
    <t>Natural Service Calves Based on Pregnancy</t>
  </si>
  <si>
    <r>
      <t>Total Potential Calves (</t>
    </r>
    <r>
      <rPr>
        <b/>
        <sz val="10"/>
        <rFont val="Arial"/>
        <family val="2"/>
      </rPr>
      <t>Before Loss Adjustments</t>
    </r>
    <r>
      <rPr>
        <b/>
        <sz val="12"/>
        <rFont val="Arial"/>
        <family val="2"/>
      </rPr>
      <t>)</t>
    </r>
  </si>
  <si>
    <t xml:space="preserve">    $/Cwt</t>
  </si>
  <si>
    <t>*Breeding system cost include clean up bull cost.</t>
  </si>
  <si>
    <t xml:space="preserve">Breeding System Cost* </t>
  </si>
  <si>
    <t>___________________________________________</t>
  </si>
  <si>
    <t xml:space="preserve">Bull-Steer  Calf Bred - Hd. &amp; Gender % </t>
  </si>
  <si>
    <t>Adjustment Expected Bred for Weaning Loss %</t>
  </si>
  <si>
    <t>Gender Selected ------&gt;</t>
  </si>
  <si>
    <t xml:space="preserve">Overall Preg. </t>
  </si>
  <si>
    <t xml:space="preserve">Natural Service Culled Open Heifers </t>
  </si>
  <si>
    <t xml:space="preserve"> AI Calves Based on Heifer Pregnancy</t>
  </si>
  <si>
    <t>Total AI Calves</t>
  </si>
  <si>
    <t>Potential Weaned Bull - Steer $/Hd.</t>
  </si>
  <si>
    <t>Gross Revenue If All Bred Heifers Wean a Calf</t>
  </si>
  <si>
    <t>Gender Selected</t>
  </si>
  <si>
    <t>Total Natural Service Calves</t>
  </si>
  <si>
    <t xml:space="preserve">  Bred Heifer Sex Semen or Natural Service Weaned Calves - Net Income Over Breeding Cost Margin</t>
  </si>
  <si>
    <t>Expected Pregnancy from Sexed Semen</t>
  </si>
  <si>
    <t xml:space="preserve">      $/Head</t>
  </si>
  <si>
    <t xml:space="preserve">  Net Value</t>
  </si>
  <si>
    <t xml:space="preserve"> Net Value</t>
  </si>
  <si>
    <t>Net Weight</t>
  </si>
  <si>
    <t>Lb./Head</t>
  </si>
  <si>
    <t xml:space="preserve"> AI Exposed &amp; Natural Bred Heifers</t>
  </si>
  <si>
    <t>F1 steer-expect some discount</t>
  </si>
  <si>
    <t>F1- Heifer with a premium</t>
  </si>
  <si>
    <t>Enter 1 if using sexed Semen AI, 2 if Natural Service for Breeding</t>
  </si>
  <si>
    <t>From AI Bred Heifer System</t>
  </si>
  <si>
    <t xml:space="preserve">Culled Heifers - Before Breeding </t>
  </si>
  <si>
    <t xml:space="preserve">Culled Open Heifers </t>
  </si>
  <si>
    <t>Initial Heifer Cost</t>
  </si>
  <si>
    <t xml:space="preserve"> Credit for Cull Sales</t>
  </si>
  <si>
    <t>Description of Replacement Heifer Production System</t>
  </si>
  <si>
    <t xml:space="preserve">Notes of sexed semen breeding protocol </t>
  </si>
  <si>
    <t xml:space="preserve">                     AI   </t>
  </si>
  <si>
    <t xml:space="preserve">                    AI </t>
  </si>
  <si>
    <t xml:space="preserve">                   AI </t>
  </si>
  <si>
    <t>Split  Time AI</t>
  </si>
  <si>
    <t>Synchronization - CIDR</t>
  </si>
  <si>
    <t>Other Drugs</t>
  </si>
  <si>
    <t>AI - Technician Travel</t>
  </si>
  <si>
    <t>Trip</t>
  </si>
  <si>
    <t>Bangs and Preg. Gard Vaccination</t>
  </si>
  <si>
    <t xml:space="preserve">Gender Chosen (Heifer)  </t>
  </si>
  <si>
    <t>Angus heifers bred to Hereford bulls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</si>
</sst>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quot;$&quot;#,##0.00"/>
    <numFmt numFmtId="165" formatCode="&quot;$&quot;#,##0"/>
    <numFmt numFmtId="166" formatCode="0_)"/>
    <numFmt numFmtId="167" formatCode="[$$-409]#,##0"/>
    <numFmt numFmtId="168" formatCode="[$$-409]#,##0.00"/>
    <numFmt numFmtId="169" formatCode="[$$-409]#,##0.00_);[Red]\([$$-409]#,##0.00\)"/>
    <numFmt numFmtId="170" formatCode="[$-409]d\-mmm\-yy;@"/>
    <numFmt numFmtId="171" formatCode="0.000"/>
    <numFmt numFmtId="172" formatCode="0.0"/>
    <numFmt numFmtId="173" formatCode="_(* #,##0_);_(* \(#,##0\);_(* &quot;-&quot;??_);_(@_)"/>
    <numFmt numFmtId="174" formatCode="0.0%"/>
    <numFmt numFmtId="175" formatCode="0.000%"/>
    <numFmt numFmtId="176" formatCode="mmmm\ d\,\ yyyy"/>
    <numFmt numFmtId="177" formatCode="0.0_);[Red]\(0.0\)"/>
    <numFmt numFmtId="178" formatCode="0_);\(0\)"/>
    <numFmt numFmtId="179" formatCode="#,##0.0"/>
    <numFmt numFmtId="180" formatCode="&quot;$&quot;#,##0.000_);[Red]\(&quot;$&quot;#,##0.000\)"/>
  </numFmts>
  <fonts count="53" x14ac:knownFonts="1">
    <font>
      <sz val="10"/>
      <name val="Arial"/>
    </font>
    <font>
      <sz val="10"/>
      <name val="Arial"/>
      <family val="2"/>
    </font>
    <font>
      <b/>
      <sz val="10"/>
      <name val="Arial"/>
      <family val="2"/>
    </font>
    <font>
      <sz val="12"/>
      <name val="Arial"/>
      <family val="2"/>
    </font>
    <font>
      <b/>
      <sz val="12"/>
      <name val="Arial"/>
      <family val="2"/>
    </font>
    <font>
      <sz val="8"/>
      <name val="Arial"/>
      <family val="2"/>
    </font>
    <font>
      <sz val="12"/>
      <name val="Arial"/>
      <family val="2"/>
    </font>
    <font>
      <sz val="12"/>
      <color indexed="39"/>
      <name val="Arial"/>
      <family val="2"/>
    </font>
    <font>
      <b/>
      <sz val="12"/>
      <name val="Arial"/>
      <family val="2"/>
    </font>
    <font>
      <sz val="10"/>
      <name val="Arial"/>
      <family val="2"/>
    </font>
    <font>
      <b/>
      <sz val="11"/>
      <name val="Arial"/>
      <family val="2"/>
    </font>
    <font>
      <b/>
      <sz val="12"/>
      <color indexed="39"/>
      <name val="Arial"/>
      <family val="2"/>
    </font>
    <font>
      <b/>
      <i/>
      <sz val="12"/>
      <name val="Arial"/>
      <family val="2"/>
    </font>
    <font>
      <sz val="12"/>
      <color indexed="39"/>
      <name val="Arial"/>
      <family val="2"/>
    </font>
    <font>
      <b/>
      <sz val="14"/>
      <name val="Arial"/>
      <family val="2"/>
    </font>
    <font>
      <sz val="14"/>
      <name val="Arial"/>
      <family val="2"/>
    </font>
    <font>
      <sz val="12"/>
      <name val="Arial"/>
      <family val="2"/>
    </font>
    <font>
      <b/>
      <sz val="12"/>
      <name val="Arial"/>
      <family val="2"/>
    </font>
    <font>
      <sz val="12"/>
      <color indexed="12"/>
      <name val="Arial"/>
      <family val="2"/>
    </font>
    <font>
      <sz val="12"/>
      <color indexed="12"/>
      <name val="Arial"/>
      <family val="2"/>
    </font>
    <font>
      <b/>
      <sz val="12"/>
      <color indexed="12"/>
      <name val="Arial"/>
      <family val="2"/>
    </font>
    <font>
      <sz val="11"/>
      <name val="Arial"/>
      <family val="2"/>
    </font>
    <font>
      <sz val="12"/>
      <color indexed="48"/>
      <name val="Arial"/>
      <family val="2"/>
    </font>
    <font>
      <sz val="12"/>
      <color indexed="30"/>
      <name val="Arial"/>
      <family val="2"/>
    </font>
    <font>
      <sz val="10"/>
      <color indexed="30"/>
      <name val="Arial"/>
      <family val="2"/>
    </font>
    <font>
      <sz val="8"/>
      <name val="Arial"/>
      <family val="2"/>
    </font>
    <font>
      <sz val="10"/>
      <color indexed="39"/>
      <name val="Arial"/>
      <family val="2"/>
    </font>
    <font>
      <b/>
      <sz val="9"/>
      <name val="Arial"/>
      <family val="2"/>
    </font>
    <font>
      <sz val="12"/>
      <color rgb="FF0033CC"/>
      <name val="Arial"/>
      <family val="2"/>
    </font>
    <font>
      <sz val="12"/>
      <color rgb="FF0000FF"/>
      <name val="Arial"/>
      <family val="2"/>
    </font>
    <font>
      <sz val="10"/>
      <color rgb="FF0000FF"/>
      <name val="Arial"/>
      <family val="2"/>
    </font>
    <font>
      <b/>
      <sz val="8"/>
      <name val="Arial"/>
      <family val="2"/>
    </font>
    <font>
      <b/>
      <sz val="12"/>
      <color theme="1"/>
      <name val="Arial"/>
      <family val="2"/>
    </font>
    <font>
      <sz val="11"/>
      <color rgb="FF0000FF"/>
      <name val="Arial"/>
      <family val="2"/>
    </font>
    <font>
      <b/>
      <sz val="11"/>
      <color rgb="FF0000FF"/>
      <name val="Arial"/>
      <family val="2"/>
    </font>
    <font>
      <sz val="10"/>
      <color rgb="FFFF0000"/>
      <name val="Arial"/>
      <family val="2"/>
    </font>
    <font>
      <sz val="12"/>
      <name val="Times New Roman"/>
      <family val="1"/>
    </font>
    <font>
      <b/>
      <sz val="11"/>
      <name val="Times New Roman"/>
      <family val="1"/>
    </font>
    <font>
      <sz val="11"/>
      <name val="Times New Roman"/>
      <family val="1"/>
    </font>
    <font>
      <b/>
      <sz val="12"/>
      <color rgb="FFFF0000"/>
      <name val="Arial"/>
      <family val="2"/>
    </font>
    <font>
      <b/>
      <sz val="10"/>
      <color rgb="FF0000FF"/>
      <name val="Arial"/>
      <family val="2"/>
    </font>
    <font>
      <b/>
      <sz val="11"/>
      <color rgb="FFC00000"/>
      <name val="Arial"/>
      <family val="2"/>
    </font>
    <font>
      <b/>
      <sz val="12"/>
      <color rgb="FFC00000"/>
      <name val="Arial"/>
      <family val="2"/>
    </font>
    <font>
      <sz val="12"/>
      <color rgb="FFC00000"/>
      <name val="Arial"/>
      <family val="2"/>
    </font>
    <font>
      <sz val="9"/>
      <name val="Arial"/>
      <family val="2"/>
    </font>
    <font>
      <b/>
      <sz val="10"/>
      <color rgb="FFFF0000"/>
      <name val="Arial"/>
      <family val="2"/>
    </font>
    <font>
      <b/>
      <sz val="10"/>
      <color indexed="39"/>
      <name val="Arial"/>
      <family val="2"/>
    </font>
    <font>
      <b/>
      <sz val="12"/>
      <color rgb="FF0000FF"/>
      <name val="Arial"/>
      <family val="2"/>
    </font>
    <font>
      <b/>
      <sz val="12"/>
      <color rgb="FF260DE3"/>
      <name val="Arial"/>
      <family val="2"/>
    </font>
    <font>
      <sz val="10"/>
      <color rgb="FF260DE3"/>
      <name val="Arial"/>
      <family val="2"/>
    </font>
    <font>
      <sz val="12"/>
      <color rgb="FF260DE3"/>
      <name val="Arial"/>
      <family val="2"/>
    </font>
    <font>
      <sz val="8"/>
      <color rgb="FFC00000"/>
      <name val="Arial"/>
      <family val="2"/>
    </font>
    <font>
      <sz val="12"/>
      <color rgb="FFFF0000"/>
      <name val="Arial"/>
      <family val="2"/>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514">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8" fontId="4" fillId="0" borderId="0" xfId="0" applyNumberFormat="1" applyFont="1"/>
    <xf numFmtId="0" fontId="0" fillId="0" borderId="0" xfId="0" applyAlignment="1">
      <alignment horizontal="center"/>
    </xf>
    <xf numFmtId="1" fontId="3" fillId="0" borderId="0" xfId="0" applyNumberFormat="1" applyFont="1"/>
    <xf numFmtId="170" fontId="3" fillId="0" borderId="0" xfId="0" applyNumberFormat="1" applyFont="1"/>
    <xf numFmtId="164" fontId="7" fillId="0" borderId="0" xfId="0" applyNumberFormat="1" applyFont="1" applyProtection="1">
      <protection locked="0"/>
    </xf>
    <xf numFmtId="164" fontId="3" fillId="0" borderId="0" xfId="0" applyNumberFormat="1" applyFont="1"/>
    <xf numFmtId="0" fontId="8" fillId="0" borderId="0" xfId="0" applyFont="1"/>
    <xf numFmtId="6" fontId="3" fillId="0" borderId="0" xfId="0" applyNumberFormat="1" applyFont="1"/>
    <xf numFmtId="6" fontId="7" fillId="0" borderId="0" xfId="0" applyNumberFormat="1" applyFont="1" applyProtection="1">
      <protection locked="0"/>
    </xf>
    <xf numFmtId="1" fontId="7" fillId="0" borderId="0" xfId="0" applyNumberFormat="1" applyFont="1" applyProtection="1">
      <protection locked="0"/>
    </xf>
    <xf numFmtId="0" fontId="7" fillId="0" borderId="0" xfId="0" applyFont="1" applyProtection="1">
      <protection locked="0"/>
    </xf>
    <xf numFmtId="172" fontId="7" fillId="0" borderId="0" xfId="0" applyNumberFormat="1" applyFont="1" applyProtection="1">
      <protection locked="0"/>
    </xf>
    <xf numFmtId="6" fontId="4" fillId="0" borderId="0" xfId="0" applyNumberFormat="1" applyFont="1"/>
    <xf numFmtId="8" fontId="0" fillId="0" borderId="0" xfId="0" applyNumberFormat="1"/>
    <xf numFmtId="170" fontId="3" fillId="0" borderId="0" xfId="0" applyNumberFormat="1" applyFont="1" applyProtection="1"/>
    <xf numFmtId="0" fontId="3" fillId="0" borderId="0" xfId="0" applyFont="1" applyProtection="1">
      <protection locked="0"/>
    </xf>
    <xf numFmtId="6" fontId="3" fillId="0" borderId="0" xfId="0" applyNumberFormat="1" applyFont="1" applyProtection="1"/>
    <xf numFmtId="0" fontId="1" fillId="0" borderId="0" xfId="0" applyFont="1"/>
    <xf numFmtId="0" fontId="10" fillId="0" borderId="0" xfId="0" applyFont="1"/>
    <xf numFmtId="1" fontId="7" fillId="0" borderId="1" xfId="0" applyNumberFormat="1" applyFont="1" applyBorder="1" applyProtection="1">
      <protection locked="0"/>
    </xf>
    <xf numFmtId="165" fontId="3" fillId="0" borderId="0" xfId="0" applyNumberFormat="1" applyFont="1"/>
    <xf numFmtId="165" fontId="4" fillId="0" borderId="0" xfId="0" applyNumberFormat="1" applyFont="1"/>
    <xf numFmtId="165" fontId="0" fillId="0" borderId="0" xfId="0" applyNumberFormat="1"/>
    <xf numFmtId="174" fontId="0" fillId="0" borderId="0" xfId="2" applyNumberFormat="1" applyFont="1"/>
    <xf numFmtId="174" fontId="0" fillId="0" borderId="0" xfId="0" applyNumberFormat="1"/>
    <xf numFmtId="6" fontId="0" fillId="0" borderId="0" xfId="0" applyNumberFormat="1"/>
    <xf numFmtId="6" fontId="1" fillId="0" borderId="0" xfId="0" applyNumberFormat="1" applyFont="1" applyProtection="1"/>
    <xf numFmtId="170" fontId="7" fillId="0" borderId="1" xfId="0" applyNumberFormat="1" applyFont="1" applyBorder="1" applyProtection="1">
      <protection locked="0"/>
    </xf>
    <xf numFmtId="1" fontId="1" fillId="0" borderId="0" xfId="0" applyNumberFormat="1" applyFont="1" applyProtection="1"/>
    <xf numFmtId="4" fontId="3" fillId="0" borderId="0" xfId="0" applyNumberFormat="1" applyFont="1" applyBorder="1" applyAlignment="1" applyProtection="1">
      <alignment horizontal="center"/>
    </xf>
    <xf numFmtId="4" fontId="3" fillId="0" borderId="0" xfId="0" applyNumberFormat="1" applyFont="1" applyAlignment="1" applyProtection="1">
      <alignment horizontal="center"/>
    </xf>
    <xf numFmtId="1" fontId="0" fillId="0" borderId="0" xfId="0" applyNumberFormat="1"/>
    <xf numFmtId="2" fontId="3" fillId="0" borderId="0" xfId="0" applyNumberFormat="1" applyFont="1" applyAlignment="1">
      <alignment horizontal="center"/>
    </xf>
    <xf numFmtId="1" fontId="4" fillId="0" borderId="0" xfId="0" applyNumberFormat="1" applyFont="1"/>
    <xf numFmtId="173" fontId="0" fillId="0" borderId="0" xfId="1" applyNumberFormat="1" applyFont="1"/>
    <xf numFmtId="173" fontId="0" fillId="0" borderId="0" xfId="0" applyNumberFormat="1"/>
    <xf numFmtId="6" fontId="6" fillId="0" borderId="0" xfId="0" applyNumberFormat="1" applyFont="1"/>
    <xf numFmtId="1" fontId="3" fillId="0" borderId="0" xfId="0" applyNumberFormat="1" applyFont="1" applyBorder="1"/>
    <xf numFmtId="6" fontId="7" fillId="0" borderId="1" xfId="0" applyNumberFormat="1" applyFont="1" applyBorder="1" applyProtection="1">
      <protection locked="0"/>
    </xf>
    <xf numFmtId="172" fontId="7" fillId="0" borderId="1" xfId="0" applyNumberFormat="1" applyFont="1" applyBorder="1" applyProtection="1">
      <protection locked="0"/>
    </xf>
    <xf numFmtId="6" fontId="11" fillId="0" borderId="1" xfId="0" applyNumberFormat="1" applyFont="1" applyBorder="1" applyProtection="1">
      <protection locked="0"/>
    </xf>
    <xf numFmtId="0" fontId="4" fillId="0" borderId="0" xfId="0" applyFont="1" applyAlignment="1">
      <alignment horizontal="center"/>
    </xf>
    <xf numFmtId="176" fontId="12" fillId="0" borderId="0" xfId="0" applyNumberFormat="1" applyFont="1" applyAlignment="1">
      <alignment horizontal="center"/>
    </xf>
    <xf numFmtId="165" fontId="2" fillId="0" borderId="0" xfId="0" applyNumberFormat="1" applyFont="1"/>
    <xf numFmtId="164" fontId="2" fillId="0" borderId="0" xfId="0" applyNumberFormat="1" applyFont="1"/>
    <xf numFmtId="165" fontId="1" fillId="0" borderId="0" xfId="0" applyNumberFormat="1" applyFont="1"/>
    <xf numFmtId="164" fontId="0" fillId="0" borderId="0" xfId="0" applyNumberFormat="1"/>
    <xf numFmtId="0" fontId="9" fillId="0" borderId="0" xfId="0" applyFont="1"/>
    <xf numFmtId="3" fontId="3" fillId="0" borderId="0" xfId="0" applyNumberFormat="1" applyFont="1" applyProtection="1"/>
    <xf numFmtId="2" fontId="0" fillId="0" borderId="0" xfId="0" applyNumberFormat="1"/>
    <xf numFmtId="8" fontId="2" fillId="0" borderId="0" xfId="0" applyNumberFormat="1" applyFont="1"/>
    <xf numFmtId="0" fontId="3" fillId="0" borderId="0" xfId="0" applyFont="1" applyAlignment="1">
      <alignment horizontal="center"/>
    </xf>
    <xf numFmtId="174" fontId="4" fillId="0" borderId="0" xfId="0" applyNumberFormat="1" applyFont="1"/>
    <xf numFmtId="165" fontId="2" fillId="0" borderId="0" xfId="2" applyNumberFormat="1" applyFont="1"/>
    <xf numFmtId="38" fontId="1" fillId="0" borderId="0" xfId="0" applyNumberFormat="1" applyFont="1"/>
    <xf numFmtId="8" fontId="1" fillId="0" borderId="0" xfId="0" applyNumberFormat="1" applyFont="1"/>
    <xf numFmtId="9" fontId="3" fillId="0" borderId="0" xfId="2" applyFont="1"/>
    <xf numFmtId="8" fontId="7" fillId="0" borderId="1" xfId="0" applyNumberFormat="1" applyFont="1" applyBorder="1" applyProtection="1">
      <protection locked="0"/>
    </xf>
    <xf numFmtId="6" fontId="4" fillId="0" borderId="0" xfId="0" applyNumberFormat="1" applyFont="1" applyProtection="1"/>
    <xf numFmtId="0" fontId="16" fillId="0" borderId="0" xfId="0" applyFont="1" applyAlignment="1">
      <alignment horizontal="right"/>
    </xf>
    <xf numFmtId="0" fontId="16" fillId="0" borderId="0" xfId="0" applyFont="1" applyAlignment="1">
      <alignment horizontal="center"/>
    </xf>
    <xf numFmtId="0" fontId="16" fillId="0" borderId="0" xfId="0" applyFont="1"/>
    <xf numFmtId="164" fontId="4" fillId="0" borderId="0" xfId="0" applyNumberFormat="1" applyFont="1"/>
    <xf numFmtId="0" fontId="14" fillId="0" borderId="0" xfId="0" applyFont="1"/>
    <xf numFmtId="0" fontId="4" fillId="0" borderId="0" xfId="0" applyFont="1" applyFill="1" applyAlignment="1">
      <alignment horizontal="center"/>
    </xf>
    <xf numFmtId="0" fontId="0" fillId="0" borderId="0" xfId="0" applyFill="1"/>
    <xf numFmtId="8" fontId="16" fillId="0" borderId="0" xfId="0" applyNumberFormat="1" applyFont="1"/>
    <xf numFmtId="0" fontId="3" fillId="0" borderId="0" xfId="0" applyFont="1" applyFill="1" applyAlignment="1">
      <alignment horizontal="center"/>
    </xf>
    <xf numFmtId="1" fontId="16" fillId="0" borderId="0" xfId="0" applyNumberFormat="1" applyFont="1"/>
    <xf numFmtId="0" fontId="13" fillId="0" borderId="0" xfId="0" applyFont="1" applyAlignment="1"/>
    <xf numFmtId="0" fontId="4" fillId="0" borderId="0" xfId="0" applyFont="1" applyFill="1"/>
    <xf numFmtId="0" fontId="4" fillId="0" borderId="0" xfId="0" applyFont="1" applyAlignment="1">
      <alignment horizontal="right"/>
    </xf>
    <xf numFmtId="0" fontId="2" fillId="0" borderId="0" xfId="0" applyFont="1" applyAlignment="1">
      <alignment horizontal="right"/>
    </xf>
    <xf numFmtId="9" fontId="16" fillId="0" borderId="0" xfId="2" applyFont="1"/>
    <xf numFmtId="0" fontId="3" fillId="0" borderId="0" xfId="0" applyFont="1" applyFill="1" applyProtection="1"/>
    <xf numFmtId="178" fontId="20" fillId="0" borderId="0" xfId="0" applyNumberFormat="1" applyFont="1" applyFill="1" applyBorder="1" applyProtection="1">
      <protection locked="0"/>
    </xf>
    <xf numFmtId="178" fontId="4" fillId="0" borderId="0" xfId="0" applyNumberFormat="1" applyFont="1" applyFill="1" applyBorder="1" applyProtection="1">
      <protection locked="0"/>
    </xf>
    <xf numFmtId="174" fontId="4" fillId="0" borderId="0" xfId="2" applyNumberFormat="1" applyFont="1" applyFill="1" applyProtection="1"/>
    <xf numFmtId="0" fontId="3" fillId="0" borderId="0" xfId="0" applyFont="1" applyFill="1"/>
    <xf numFmtId="0" fontId="9" fillId="0" borderId="0" xfId="0" applyFont="1" applyFill="1"/>
    <xf numFmtId="0" fontId="4" fillId="0" borderId="0" xfId="0" applyFont="1" applyFill="1" applyProtection="1"/>
    <xf numFmtId="0" fontId="3" fillId="0" borderId="0" xfId="0" applyFont="1" applyFill="1" applyAlignment="1">
      <alignment horizontal="fill"/>
    </xf>
    <xf numFmtId="3" fontId="3"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3" fontId="4" fillId="0" borderId="0" xfId="0" applyNumberFormat="1" applyFont="1" applyAlignment="1" applyProtection="1">
      <alignment horizontal="center"/>
    </xf>
    <xf numFmtId="169" fontId="3" fillId="0" borderId="0" xfId="0" applyNumberFormat="1" applyFont="1" applyProtection="1"/>
    <xf numFmtId="167" fontId="3" fillId="0" borderId="0" xfId="0" applyNumberFormat="1" applyFont="1" applyProtection="1"/>
    <xf numFmtId="164" fontId="3" fillId="0" borderId="0" xfId="0" applyNumberFormat="1" applyFont="1" applyProtection="1">
      <protection locked="0"/>
    </xf>
    <xf numFmtId="164" fontId="4" fillId="0" borderId="0" xfId="0" applyNumberFormat="1" applyFont="1" applyFill="1" applyProtection="1">
      <protection locked="0"/>
    </xf>
    <xf numFmtId="3" fontId="4" fillId="0" borderId="0" xfId="0" applyNumberFormat="1" applyFont="1" applyFill="1"/>
    <xf numFmtId="7" fontId="4" fillId="0" borderId="0" xfId="0" applyNumberFormat="1" applyFont="1" applyFill="1" applyBorder="1" applyProtection="1"/>
    <xf numFmtId="164" fontId="4" fillId="0" borderId="0" xfId="0" applyNumberFormat="1" applyFont="1" applyFill="1"/>
    <xf numFmtId="165" fontId="4" fillId="0" borderId="0" xfId="0" applyNumberFormat="1" applyFont="1" applyFill="1"/>
    <xf numFmtId="1" fontId="3" fillId="0" borderId="0" xfId="0" applyNumberFormat="1" applyFont="1" applyProtection="1"/>
    <xf numFmtId="164" fontId="3" fillId="0" borderId="0" xfId="0" applyNumberFormat="1" applyFont="1" applyProtection="1"/>
    <xf numFmtId="1" fontId="4" fillId="0" borderId="0" xfId="0" applyNumberFormat="1" applyFont="1" applyFill="1"/>
    <xf numFmtId="167" fontId="4" fillId="0" borderId="0" xfId="0" applyNumberFormat="1" applyFont="1"/>
    <xf numFmtId="0" fontId="4" fillId="0" borderId="0" xfId="0" applyFont="1" applyFill="1" applyBorder="1" applyProtection="1"/>
    <xf numFmtId="166" fontId="4" fillId="0" borderId="0" xfId="0" applyNumberFormat="1" applyFont="1" applyFill="1"/>
    <xf numFmtId="169" fontId="4" fillId="0" borderId="0" xfId="0" applyNumberFormat="1" applyFont="1" applyProtection="1"/>
    <xf numFmtId="167" fontId="4" fillId="0" borderId="0" xfId="0" applyNumberFormat="1" applyFont="1" applyProtection="1"/>
    <xf numFmtId="164" fontId="4" fillId="0" borderId="0" xfId="0" applyNumberFormat="1" applyFont="1" applyProtection="1"/>
    <xf numFmtId="5" fontId="3" fillId="0" borderId="0" xfId="0" applyNumberFormat="1" applyFont="1" applyFill="1" applyProtection="1"/>
    <xf numFmtId="0" fontId="2" fillId="0" borderId="0" xfId="0" applyFont="1" applyFill="1" applyProtection="1"/>
    <xf numFmtId="0" fontId="2" fillId="0" borderId="0" xfId="0" applyFont="1" applyFill="1"/>
    <xf numFmtId="0" fontId="4" fillId="0" borderId="0" xfId="0" applyFont="1" applyAlignment="1" applyProtection="1">
      <alignment horizontal="center"/>
    </xf>
    <xf numFmtId="9" fontId="4" fillId="0" borderId="0" xfId="2" applyFont="1"/>
    <xf numFmtId="1" fontId="7" fillId="0" borderId="0" xfId="0" applyNumberFormat="1" applyFont="1" applyBorder="1" applyProtection="1">
      <protection locked="0"/>
    </xf>
    <xf numFmtId="0" fontId="3" fillId="0" borderId="0" xfId="0" applyFont="1" applyFill="1" applyBorder="1"/>
    <xf numFmtId="1" fontId="2" fillId="0" borderId="0" xfId="0" applyNumberFormat="1" applyFont="1" applyProtection="1"/>
    <xf numFmtId="6" fontId="16" fillId="0" borderId="0" xfId="0" applyNumberFormat="1" applyFont="1"/>
    <xf numFmtId="165" fontId="16" fillId="0" borderId="0" xfId="0" applyNumberFormat="1" applyFont="1"/>
    <xf numFmtId="8" fontId="3" fillId="0" borderId="0" xfId="0" applyNumberFormat="1" applyFont="1"/>
    <xf numFmtId="165" fontId="18" fillId="0" borderId="0" xfId="0" applyNumberFormat="1" applyFont="1" applyProtection="1">
      <protection locked="0"/>
    </xf>
    <xf numFmtId="164" fontId="22" fillId="0" borderId="0" xfId="0" applyNumberFormat="1" applyFont="1"/>
    <xf numFmtId="0" fontId="23" fillId="0" borderId="0" xfId="0" applyFont="1"/>
    <xf numFmtId="165" fontId="18" fillId="0" borderId="0" xfId="0" applyNumberFormat="1" applyFont="1" applyBorder="1" applyProtection="1">
      <protection locked="0"/>
    </xf>
    <xf numFmtId="164" fontId="22" fillId="0" borderId="0" xfId="0" applyNumberFormat="1" applyFont="1" applyBorder="1"/>
    <xf numFmtId="165" fontId="3" fillId="0" borderId="0" xfId="0" applyNumberFormat="1" applyFont="1" applyBorder="1"/>
    <xf numFmtId="165" fontId="8" fillId="0" borderId="0" xfId="0" applyNumberFormat="1" applyFont="1"/>
    <xf numFmtId="164" fontId="8" fillId="0" borderId="0" xfId="0" applyNumberFormat="1" applyFont="1"/>
    <xf numFmtId="165" fontId="6" fillId="0" borderId="0" xfId="0" applyNumberFormat="1" applyFont="1"/>
    <xf numFmtId="6" fontId="20" fillId="0" borderId="0" xfId="0" applyNumberFormat="1" applyFont="1" applyProtection="1">
      <protection locked="0"/>
    </xf>
    <xf numFmtId="3" fontId="18" fillId="0" borderId="0" xfId="0" applyNumberFormat="1" applyFont="1" applyProtection="1">
      <protection locked="0"/>
    </xf>
    <xf numFmtId="8" fontId="18" fillId="0" borderId="0" xfId="0" applyNumberFormat="1" applyFont="1" applyProtection="1">
      <protection locked="0"/>
    </xf>
    <xf numFmtId="177" fontId="3" fillId="0" borderId="0" xfId="2" applyNumberFormat="1" applyFont="1" applyAlignment="1" applyProtection="1">
      <alignment horizontal="right"/>
    </xf>
    <xf numFmtId="0" fontId="4" fillId="0" borderId="0" xfId="0" applyFont="1" applyProtection="1">
      <protection locked="0"/>
    </xf>
    <xf numFmtId="4" fontId="4" fillId="0" borderId="0" xfId="0" applyNumberFormat="1" applyFont="1" applyAlignment="1" applyProtection="1">
      <alignment horizontal="center"/>
    </xf>
    <xf numFmtId="3" fontId="3" fillId="0" borderId="0" xfId="0" applyNumberFormat="1" applyFont="1"/>
    <xf numFmtId="174" fontId="3" fillId="0" borderId="0" xfId="0" applyNumberFormat="1" applyFont="1" applyFill="1"/>
    <xf numFmtId="165" fontId="3" fillId="0" borderId="0" xfId="0" applyNumberFormat="1" applyFont="1" applyFill="1"/>
    <xf numFmtId="165" fontId="3" fillId="0" borderId="0" xfId="0" applyNumberFormat="1" applyFont="1" applyProtection="1"/>
    <xf numFmtId="0" fontId="10" fillId="0" borderId="0" xfId="0" applyFont="1" applyAlignment="1">
      <alignment horizontal="center"/>
    </xf>
    <xf numFmtId="0" fontId="4" fillId="2" borderId="0" xfId="0" applyFont="1" applyFill="1"/>
    <xf numFmtId="6" fontId="3" fillId="2" borderId="0" xfId="0" applyNumberFormat="1" applyFont="1" applyFill="1"/>
    <xf numFmtId="0" fontId="3" fillId="2" borderId="0" xfId="0" applyFont="1" applyFill="1"/>
    <xf numFmtId="170" fontId="3" fillId="2" borderId="0" xfId="0" applyNumberFormat="1" applyFont="1" applyFill="1"/>
    <xf numFmtId="0" fontId="9" fillId="2" borderId="0" xfId="0" applyFont="1" applyFill="1"/>
    <xf numFmtId="0" fontId="4" fillId="2" borderId="0" xfId="0" applyFont="1" applyFill="1" applyProtection="1">
      <protection locked="0"/>
    </xf>
    <xf numFmtId="6" fontId="4" fillId="2" borderId="0" xfId="0" applyNumberFormat="1" applyFont="1" applyFill="1" applyProtection="1"/>
    <xf numFmtId="0" fontId="2" fillId="2" borderId="0" xfId="0" applyFont="1" applyFill="1"/>
    <xf numFmtId="174" fontId="4" fillId="2" borderId="0" xfId="2" applyNumberFormat="1" applyFont="1" applyFill="1"/>
    <xf numFmtId="172" fontId="7" fillId="2" borderId="0" xfId="0" applyNumberFormat="1" applyFont="1" applyFill="1" applyProtection="1">
      <protection locked="0"/>
    </xf>
    <xf numFmtId="8" fontId="4" fillId="2" borderId="0" xfId="0" applyNumberFormat="1" applyFont="1" applyFill="1"/>
    <xf numFmtId="165" fontId="4" fillId="2" borderId="0" xfId="0" applyNumberFormat="1" applyFont="1" applyFill="1"/>
    <xf numFmtId="6" fontId="4" fillId="2" borderId="0" xfId="0" applyNumberFormat="1" applyFont="1" applyFill="1"/>
    <xf numFmtId="174" fontId="4" fillId="2" borderId="0" xfId="0" applyNumberFormat="1" applyFont="1" applyFill="1"/>
    <xf numFmtId="0" fontId="4" fillId="2" borderId="0" xfId="0" applyFont="1" applyFill="1" applyBorder="1"/>
    <xf numFmtId="1" fontId="4" fillId="2" borderId="0" xfId="0" applyNumberFormat="1" applyFont="1" applyFill="1" applyBorder="1"/>
    <xf numFmtId="6" fontId="2" fillId="2" borderId="0" xfId="0" applyNumberFormat="1" applyFont="1" applyFill="1"/>
    <xf numFmtId="165" fontId="4" fillId="2" borderId="0" xfId="0" applyNumberFormat="1" applyFont="1" applyFill="1" applyBorder="1"/>
    <xf numFmtId="164" fontId="0" fillId="2" borderId="0" xfId="0" applyNumberFormat="1" applyFill="1"/>
    <xf numFmtId="8" fontId="2" fillId="2" borderId="0" xfId="0" applyNumberFormat="1" applyFont="1" applyFill="1"/>
    <xf numFmtId="172" fontId="3" fillId="0" borderId="0" xfId="0" applyNumberFormat="1" applyFont="1" applyBorder="1"/>
    <xf numFmtId="0" fontId="3" fillId="0" borderId="0" xfId="0" applyFont="1" applyBorder="1"/>
    <xf numFmtId="165" fontId="6" fillId="0" borderId="0" xfId="0" applyNumberFormat="1" applyFont="1" applyFill="1"/>
    <xf numFmtId="164" fontId="22" fillId="0" borderId="0" xfId="0" applyNumberFormat="1" applyFont="1" applyFill="1"/>
    <xf numFmtId="164" fontId="3" fillId="0" borderId="0" xfId="0" applyNumberFormat="1" applyFont="1" applyFill="1"/>
    <xf numFmtId="168" fontId="4" fillId="0" borderId="0" xfId="0" applyNumberFormat="1" applyFont="1"/>
    <xf numFmtId="10" fontId="0" fillId="0" borderId="0" xfId="2" applyNumberFormat="1" applyFont="1"/>
    <xf numFmtId="6" fontId="2" fillId="0" borderId="0" xfId="0" applyNumberFormat="1" applyFont="1" applyProtection="1"/>
    <xf numFmtId="165" fontId="2" fillId="2" borderId="0" xfId="0" applyNumberFormat="1" applyFont="1" applyFill="1"/>
    <xf numFmtId="8" fontId="3" fillId="0" borderId="0" xfId="0" applyNumberFormat="1" applyFont="1" applyProtection="1"/>
    <xf numFmtId="43" fontId="10" fillId="0" borderId="0" xfId="0" applyNumberFormat="1" applyFont="1"/>
    <xf numFmtId="3" fontId="4" fillId="2" borderId="0" xfId="0" applyNumberFormat="1" applyFont="1" applyFill="1"/>
    <xf numFmtId="170" fontId="0" fillId="0" borderId="0" xfId="0" applyNumberFormat="1"/>
    <xf numFmtId="0" fontId="6" fillId="2" borderId="0" xfId="0" applyFont="1" applyFill="1"/>
    <xf numFmtId="165" fontId="8" fillId="2" borderId="0" xfId="0" applyNumberFormat="1" applyFont="1" applyFill="1"/>
    <xf numFmtId="164" fontId="4" fillId="2" borderId="0" xfId="0" applyNumberFormat="1" applyFont="1" applyFill="1" applyBorder="1"/>
    <xf numFmtId="0" fontId="0" fillId="2" borderId="0" xfId="0" applyFill="1"/>
    <xf numFmtId="14" fontId="0" fillId="0" borderId="0" xfId="0" applyNumberFormat="1"/>
    <xf numFmtId="171" fontId="0" fillId="0" borderId="0" xfId="0" applyNumberFormat="1"/>
    <xf numFmtId="0" fontId="3" fillId="0" borderId="0" xfId="0" applyFont="1" applyAlignment="1"/>
    <xf numFmtId="173" fontId="7" fillId="0" borderId="1" xfId="1" applyNumberFormat="1" applyFont="1" applyBorder="1" applyProtection="1">
      <protection locked="0"/>
    </xf>
    <xf numFmtId="0" fontId="9" fillId="0" borderId="0" xfId="0" applyFont="1" applyAlignment="1">
      <alignment horizontal="right"/>
    </xf>
    <xf numFmtId="0" fontId="0" fillId="0" borderId="0" xfId="0" applyAlignment="1">
      <alignment horizontal="right"/>
    </xf>
    <xf numFmtId="0" fontId="21" fillId="0" borderId="0" xfId="0" applyFont="1"/>
    <xf numFmtId="164" fontId="24" fillId="0" borderId="0" xfId="0" applyNumberFormat="1" applyFont="1"/>
    <xf numFmtId="8" fontId="9" fillId="0" borderId="0" xfId="0" applyNumberFormat="1" applyFont="1"/>
    <xf numFmtId="8" fontId="7" fillId="0" borderId="0" xfId="0" applyNumberFormat="1" applyFont="1" applyProtection="1">
      <protection locked="0"/>
    </xf>
    <xf numFmtId="1" fontId="3" fillId="0" borderId="0" xfId="0" applyNumberFormat="1" applyFont="1" applyBorder="1" applyProtection="1"/>
    <xf numFmtId="9" fontId="0" fillId="0" borderId="0" xfId="2" applyFont="1"/>
    <xf numFmtId="0" fontId="4" fillId="0" borderId="0" xfId="0" applyFont="1" applyAlignment="1" applyProtection="1"/>
    <xf numFmtId="1" fontId="4" fillId="0" borderId="0" xfId="0" applyNumberFormat="1" applyFont="1" applyBorder="1" applyProtection="1"/>
    <xf numFmtId="9" fontId="0" fillId="0" borderId="0" xfId="0" applyNumberFormat="1"/>
    <xf numFmtId="164" fontId="3" fillId="0" borderId="0" xfId="0" applyNumberFormat="1" applyFont="1" applyAlignment="1" applyProtection="1">
      <alignment horizontal="center"/>
      <protection locked="0"/>
    </xf>
    <xf numFmtId="0" fontId="4" fillId="0" borderId="0" xfId="0" applyFont="1" applyAlignment="1" applyProtection="1">
      <alignment horizontal="right"/>
    </xf>
    <xf numFmtId="0" fontId="26" fillId="0" borderId="0" xfId="0" applyFont="1" applyProtection="1">
      <protection locked="0"/>
    </xf>
    <xf numFmtId="172" fontId="26" fillId="0" borderId="0" xfId="0" applyNumberFormat="1" applyFont="1" applyProtection="1">
      <protection locked="0"/>
    </xf>
    <xf numFmtId="175" fontId="2" fillId="0" borderId="0" xfId="2" applyNumberFormat="1" applyFont="1"/>
    <xf numFmtId="8" fontId="4" fillId="2" borderId="0" xfId="0" applyNumberFormat="1" applyFont="1" applyFill="1" applyProtection="1"/>
    <xf numFmtId="2" fontId="2" fillId="0" borderId="0" xfId="0" applyNumberFormat="1" applyFont="1"/>
    <xf numFmtId="164" fontId="9" fillId="0" borderId="0" xfId="0" applyNumberFormat="1" applyFont="1"/>
    <xf numFmtId="0" fontId="2" fillId="0" borderId="0" xfId="0" applyFont="1" applyAlignment="1">
      <alignment horizontal="center"/>
    </xf>
    <xf numFmtId="174" fontId="3" fillId="0" borderId="0" xfId="2" applyNumberFormat="1" applyFont="1"/>
    <xf numFmtId="1" fontId="4" fillId="0" borderId="0" xfId="0" applyNumberFormat="1" applyFont="1" applyAlignment="1">
      <alignment horizontal="left"/>
    </xf>
    <xf numFmtId="0" fontId="27" fillId="0" borderId="0" xfId="0" applyFont="1"/>
    <xf numFmtId="1" fontId="7" fillId="0" borderId="1" xfId="0" applyNumberFormat="1" applyFont="1" applyBorder="1" applyAlignment="1" applyProtection="1">
      <alignment horizontal="left"/>
      <protection locked="0"/>
    </xf>
    <xf numFmtId="174" fontId="4" fillId="0" borderId="0" xfId="2" applyNumberFormat="1" applyFont="1"/>
    <xf numFmtId="173" fontId="3" fillId="0" borderId="0" xfId="1" applyNumberFormat="1" applyFont="1"/>
    <xf numFmtId="2" fontId="4" fillId="0" borderId="0" xfId="0" applyNumberFormat="1" applyFont="1" applyBorder="1" applyAlignment="1">
      <alignment horizontal="center"/>
    </xf>
    <xf numFmtId="170" fontId="3" fillId="0" borderId="0" xfId="0" applyNumberFormat="1" applyFont="1" applyBorder="1" applyProtection="1"/>
    <xf numFmtId="170" fontId="3" fillId="0" borderId="3" xfId="0" applyNumberFormat="1" applyFont="1" applyBorder="1" applyProtection="1"/>
    <xf numFmtId="172" fontId="19" fillId="0" borderId="1" xfId="0" applyNumberFormat="1" applyFont="1" applyBorder="1" applyProtection="1">
      <protection locked="0"/>
    </xf>
    <xf numFmtId="10" fontId="4" fillId="0" borderId="0" xfId="2" applyNumberFormat="1" applyFont="1"/>
    <xf numFmtId="170" fontId="28" fillId="0" borderId="1" xfId="0" applyNumberFormat="1" applyFont="1" applyBorder="1" applyProtection="1">
      <protection locked="0"/>
    </xf>
    <xf numFmtId="164" fontId="29" fillId="0" borderId="0" xfId="0" applyNumberFormat="1" applyFont="1" applyProtection="1">
      <protection locked="0"/>
    </xf>
    <xf numFmtId="164" fontId="0" fillId="0" borderId="0" xfId="0" applyNumberFormat="1" applyAlignment="1">
      <alignment horizontal="center"/>
    </xf>
    <xf numFmtId="6" fontId="0" fillId="0" borderId="0" xfId="0" applyNumberFormat="1" applyAlignment="1">
      <alignment horizontal="center"/>
    </xf>
    <xf numFmtId="8" fontId="0" fillId="0" borderId="0" xfId="0" applyNumberFormat="1" applyAlignment="1">
      <alignment horizontal="center"/>
    </xf>
    <xf numFmtId="173" fontId="3" fillId="0" borderId="0" xfId="0" applyNumberFormat="1" applyFont="1"/>
    <xf numFmtId="1" fontId="7" fillId="0" borderId="0" xfId="0" applyNumberFormat="1" applyFont="1" applyBorder="1" applyAlignment="1" applyProtection="1">
      <alignment horizontal="left"/>
      <protection locked="0"/>
    </xf>
    <xf numFmtId="170" fontId="3" fillId="0" borderId="0" xfId="0" applyNumberFormat="1" applyFont="1" applyBorder="1" applyProtection="1">
      <protection locked="0"/>
    </xf>
    <xf numFmtId="1" fontId="3" fillId="0" borderId="0" xfId="0" applyNumberFormat="1" applyFont="1" applyBorder="1" applyProtection="1">
      <protection locked="0"/>
    </xf>
    <xf numFmtId="9" fontId="3" fillId="0" borderId="0" xfId="0" applyNumberFormat="1" applyFont="1"/>
    <xf numFmtId="170" fontId="7" fillId="0" borderId="7" xfId="0" applyNumberFormat="1" applyFont="1" applyBorder="1" applyProtection="1">
      <protection locked="0"/>
    </xf>
    <xf numFmtId="164" fontId="7" fillId="0" borderId="1" xfId="0" applyNumberFormat="1" applyFont="1" applyBorder="1" applyProtection="1">
      <protection locked="0"/>
    </xf>
    <xf numFmtId="8" fontId="7" fillId="0" borderId="9" xfId="0" applyNumberFormat="1" applyFont="1" applyBorder="1" applyProtection="1">
      <protection locked="0"/>
    </xf>
    <xf numFmtId="0" fontId="4" fillId="0" borderId="0" xfId="0" quotePrefix="1" applyFont="1" applyAlignment="1">
      <alignment horizontal="center"/>
    </xf>
    <xf numFmtId="3" fontId="7" fillId="0" borderId="1" xfId="0" applyNumberFormat="1" applyFont="1" applyBorder="1" applyProtection="1">
      <protection locked="0"/>
    </xf>
    <xf numFmtId="0" fontId="4" fillId="4" borderId="0" xfId="0" applyFont="1" applyFill="1"/>
    <xf numFmtId="6" fontId="4" fillId="4" borderId="0" xfId="0" applyNumberFormat="1" applyFont="1" applyFill="1"/>
    <xf numFmtId="3" fontId="4" fillId="4" borderId="0" xfId="0" applyNumberFormat="1" applyFont="1" applyFill="1"/>
    <xf numFmtId="164" fontId="4" fillId="4" borderId="0" xfId="0" applyNumberFormat="1" applyFont="1" applyFill="1"/>
    <xf numFmtId="173" fontId="4" fillId="0" borderId="0" xfId="0" applyNumberFormat="1" applyFont="1"/>
    <xf numFmtId="170" fontId="29" fillId="0" borderId="1" xfId="0" applyNumberFormat="1" applyFont="1" applyBorder="1" applyProtection="1">
      <protection locked="0"/>
    </xf>
    <xf numFmtId="0" fontId="29" fillId="0" borderId="0" xfId="0" applyFont="1" applyProtection="1">
      <protection locked="0"/>
    </xf>
    <xf numFmtId="170" fontId="29" fillId="0" borderId="9" xfId="0" applyNumberFormat="1" applyFont="1" applyBorder="1" applyProtection="1">
      <protection locked="0"/>
    </xf>
    <xf numFmtId="0" fontId="0" fillId="0" borderId="0" xfId="0" applyAlignment="1">
      <alignment horizontal="center"/>
    </xf>
    <xf numFmtId="0" fontId="5" fillId="0" borderId="0" xfId="0" applyFont="1" applyAlignment="1">
      <alignment horizontal="center"/>
    </xf>
    <xf numFmtId="8" fontId="4" fillId="4" borderId="0" xfId="0" applyNumberFormat="1" applyFont="1" applyFill="1"/>
    <xf numFmtId="174" fontId="4" fillId="4" borderId="0" xfId="2" applyNumberFormat="1" applyFont="1" applyFill="1"/>
    <xf numFmtId="0" fontId="0" fillId="0" borderId="0" xfId="0" applyAlignment="1">
      <alignment horizontal="center"/>
    </xf>
    <xf numFmtId="0" fontId="32" fillId="0" borderId="0" xfId="0" applyFont="1"/>
    <xf numFmtId="0" fontId="33" fillId="0" borderId="4" xfId="0" applyFont="1" applyBorder="1" applyProtection="1">
      <protection locked="0"/>
    </xf>
    <xf numFmtId="0" fontId="33" fillId="0" borderId="0" xfId="0" applyFont="1" applyProtection="1">
      <protection locked="0"/>
    </xf>
    <xf numFmtId="0" fontId="33" fillId="0" borderId="0" xfId="0" applyFont="1" applyBorder="1" applyProtection="1">
      <protection locked="0"/>
    </xf>
    <xf numFmtId="1" fontId="7" fillId="0" borderId="9" xfId="0" applyNumberFormat="1" applyFont="1" applyBorder="1" applyProtection="1">
      <protection locked="0"/>
    </xf>
    <xf numFmtId="9" fontId="4" fillId="0" borderId="0" xfId="0" applyNumberFormat="1" applyFont="1"/>
    <xf numFmtId="170" fontId="3" fillId="0" borderId="0" xfId="0" applyNumberFormat="1" applyFont="1" applyAlignment="1" applyProtection="1">
      <alignment horizontal="right"/>
    </xf>
    <xf numFmtId="0" fontId="4" fillId="0" borderId="0" xfId="0" applyFont="1" applyAlignment="1">
      <alignment horizontal="center"/>
    </xf>
    <xf numFmtId="0" fontId="0" fillId="0" borderId="0" xfId="0" applyAlignment="1">
      <alignment horizontal="center"/>
    </xf>
    <xf numFmtId="3" fontId="0" fillId="0" borderId="0" xfId="0" applyNumberFormat="1"/>
    <xf numFmtId="0" fontId="35" fillId="0" borderId="0" xfId="0" applyFont="1"/>
    <xf numFmtId="172" fontId="21" fillId="0" borderId="0" xfId="0" applyNumberFormat="1" applyFont="1" applyAlignment="1" applyProtection="1">
      <alignment horizontal="right"/>
      <protection locked="0"/>
    </xf>
    <xf numFmtId="1" fontId="4" fillId="2" borderId="0" xfId="0" applyNumberFormat="1" applyFont="1" applyFill="1" applyBorder="1" applyAlignment="1">
      <alignment horizontal="right"/>
    </xf>
    <xf numFmtId="6" fontId="29" fillId="0" borderId="10" xfId="0" applyNumberFormat="1" applyFont="1" applyBorder="1" applyProtection="1">
      <protection locked="0"/>
    </xf>
    <xf numFmtId="10" fontId="0" fillId="0" borderId="0" xfId="0" applyNumberFormat="1"/>
    <xf numFmtId="6" fontId="2" fillId="0" borderId="0" xfId="0" applyNumberFormat="1" applyFont="1"/>
    <xf numFmtId="10" fontId="2" fillId="0" borderId="0" xfId="0" applyNumberFormat="1" applyFont="1"/>
    <xf numFmtId="0" fontId="2" fillId="0" borderId="0" xfId="0" applyFont="1" applyAlignment="1">
      <alignment horizontal="center"/>
    </xf>
    <xf numFmtId="164" fontId="1" fillId="0" borderId="0" xfId="0" applyNumberFormat="1" applyFont="1"/>
    <xf numFmtId="6" fontId="1" fillId="0" borderId="0" xfId="0" applyNumberFormat="1" applyFont="1"/>
    <xf numFmtId="9" fontId="2" fillId="0" borderId="0" xfId="0" applyNumberFormat="1" applyFont="1"/>
    <xf numFmtId="2" fontId="1" fillId="0" borderId="0" xfId="0" applyNumberFormat="1" applyFont="1"/>
    <xf numFmtId="174" fontId="1" fillId="0" borderId="0" xfId="2" applyNumberFormat="1" applyFont="1"/>
    <xf numFmtId="14" fontId="2" fillId="0" borderId="0" xfId="0" applyNumberFormat="1" applyFont="1"/>
    <xf numFmtId="174" fontId="3" fillId="0" borderId="0" xfId="2" applyNumberFormat="1" applyFont="1" applyBorder="1" applyProtection="1">
      <protection locked="0"/>
    </xf>
    <xf numFmtId="2" fontId="3" fillId="0" borderId="0" xfId="0" applyNumberFormat="1" applyFont="1" applyBorder="1" applyProtection="1"/>
    <xf numFmtId="0" fontId="38" fillId="0" borderId="0" xfId="0" applyFont="1" applyAlignment="1">
      <alignment horizontal="justify" vertical="center"/>
    </xf>
    <xf numFmtId="0" fontId="36" fillId="0" borderId="0" xfId="0" applyFont="1" applyAlignment="1">
      <alignment vertical="center"/>
    </xf>
    <xf numFmtId="174" fontId="3" fillId="0" borderId="0" xfId="0" applyNumberFormat="1" applyFont="1"/>
    <xf numFmtId="1" fontId="29" fillId="0" borderId="8" xfId="0" applyNumberFormat="1" applyFont="1" applyBorder="1" applyProtection="1">
      <protection locked="0"/>
    </xf>
    <xf numFmtId="9" fontId="3" fillId="0" borderId="0" xfId="2" applyFont="1" applyAlignment="1">
      <alignment horizontal="center"/>
    </xf>
    <xf numFmtId="8" fontId="4" fillId="0" borderId="0" xfId="0" applyNumberFormat="1" applyFont="1" applyAlignment="1">
      <alignment horizontal="center"/>
    </xf>
    <xf numFmtId="9" fontId="4" fillId="4" borderId="0" xfId="2" applyFont="1" applyFill="1" applyAlignment="1">
      <alignment horizontal="center"/>
    </xf>
    <xf numFmtId="9" fontId="4" fillId="0" borderId="0" xfId="2" applyFont="1" applyAlignment="1">
      <alignment horizontal="center"/>
    </xf>
    <xf numFmtId="6" fontId="4" fillId="4" borderId="0" xfId="0" applyNumberFormat="1" applyFont="1" applyFill="1" applyProtection="1"/>
    <xf numFmtId="164" fontId="7" fillId="0" borderId="0" xfId="0" applyNumberFormat="1" applyFont="1" applyBorder="1" applyProtection="1">
      <protection locked="0"/>
    </xf>
    <xf numFmtId="1" fontId="2" fillId="0" borderId="0" xfId="0" applyNumberFormat="1" applyFont="1"/>
    <xf numFmtId="0" fontId="39" fillId="0" borderId="0" xfId="0" applyFont="1"/>
    <xf numFmtId="173" fontId="4" fillId="2" borderId="0" xfId="1" applyNumberFormat="1" applyFont="1" applyFill="1"/>
    <xf numFmtId="172" fontId="3" fillId="0" borderId="0" xfId="0" applyNumberFormat="1" applyFont="1"/>
    <xf numFmtId="2" fontId="7" fillId="0" borderId="1" xfId="2" applyNumberFormat="1" applyFont="1" applyBorder="1" applyProtection="1">
      <protection locked="0"/>
    </xf>
    <xf numFmtId="0" fontId="4" fillId="0" borderId="0" xfId="0" applyFont="1" applyAlignment="1">
      <alignment horizontal="center"/>
    </xf>
    <xf numFmtId="0" fontId="3" fillId="0" borderId="0" xfId="0" applyFont="1" applyBorder="1" applyAlignment="1" applyProtection="1">
      <alignment horizontal="left"/>
    </xf>
    <xf numFmtId="0" fontId="3" fillId="0" borderId="0" xfId="0" applyFont="1" applyAlignment="1">
      <alignment horizontal="left"/>
    </xf>
    <xf numFmtId="0" fontId="1" fillId="0" borderId="0" xfId="0" applyFont="1" applyBorder="1"/>
    <xf numFmtId="164" fontId="4" fillId="0" borderId="0" xfId="0" applyNumberFormat="1" applyFont="1" applyFill="1" applyBorder="1"/>
    <xf numFmtId="0" fontId="30" fillId="0" borderId="0" xfId="0" applyFont="1" applyProtection="1">
      <protection locked="0"/>
    </xf>
    <xf numFmtId="0" fontId="40" fillId="0" borderId="0" xfId="0" applyFont="1" applyProtection="1">
      <protection locked="0"/>
    </xf>
    <xf numFmtId="165" fontId="26" fillId="0" borderId="0" xfId="0" applyNumberFormat="1" applyFont="1" applyProtection="1">
      <protection locked="0"/>
    </xf>
    <xf numFmtId="0" fontId="1" fillId="0" borderId="0" xfId="0" applyFont="1" applyAlignment="1">
      <alignment horizontal="right"/>
    </xf>
    <xf numFmtId="1" fontId="29" fillId="0" borderId="0" xfId="0" applyNumberFormat="1" applyFont="1" applyProtection="1">
      <protection locked="0"/>
    </xf>
    <xf numFmtId="3" fontId="29" fillId="0" borderId="0" xfId="0" applyNumberFormat="1" applyFont="1" applyProtection="1">
      <protection locked="0"/>
    </xf>
    <xf numFmtId="0" fontId="4" fillId="0" borderId="0" xfId="0" applyFont="1" applyAlignment="1">
      <alignment horizontal="center"/>
    </xf>
    <xf numFmtId="0" fontId="3" fillId="0" borderId="0" xfId="0" applyFont="1" applyBorder="1" applyAlignment="1" applyProtection="1">
      <alignment horizontal="left"/>
    </xf>
    <xf numFmtId="0" fontId="1" fillId="0" borderId="0" xfId="0" applyFont="1" applyBorder="1" applyAlignment="1" applyProtection="1"/>
    <xf numFmtId="170" fontId="4" fillId="0" borderId="0" xfId="0" applyNumberFormat="1" applyFont="1"/>
    <xf numFmtId="3" fontId="4" fillId="0" borderId="0" xfId="0" applyNumberFormat="1" applyFont="1" applyProtection="1"/>
    <xf numFmtId="165" fontId="4" fillId="4" borderId="0" xfId="0" applyNumberFormat="1" applyFont="1" applyFill="1"/>
    <xf numFmtId="0" fontId="32" fillId="0" borderId="0" xfId="0" applyFont="1" applyAlignment="1">
      <alignment horizontal="justify" vertical="center"/>
    </xf>
    <xf numFmtId="0" fontId="32" fillId="0" borderId="0" xfId="0" applyFont="1" applyAlignment="1">
      <alignment vertical="center" wrapText="1"/>
    </xf>
    <xf numFmtId="0" fontId="4" fillId="0" borderId="0" xfId="0" applyFont="1" applyAlignment="1">
      <alignment horizontal="center"/>
    </xf>
    <xf numFmtId="0" fontId="14" fillId="0" borderId="0" xfId="0" applyFont="1" applyAlignment="1">
      <alignment horizontal="center"/>
    </xf>
    <xf numFmtId="0" fontId="34" fillId="0" borderId="9" xfId="0" applyFont="1" applyBorder="1" applyAlignment="1" applyProtection="1">
      <alignment horizontal="left"/>
      <protection locked="0"/>
    </xf>
    <xf numFmtId="0" fontId="41" fillId="0" borderId="0" xfId="0" applyFont="1" applyAlignment="1">
      <alignment horizontal="center"/>
    </xf>
    <xf numFmtId="3" fontId="11" fillId="0" borderId="9" xfId="0" applyNumberFormat="1" applyFont="1" applyBorder="1" applyProtection="1">
      <protection locked="0"/>
    </xf>
    <xf numFmtId="0" fontId="44" fillId="0" borderId="0" xfId="0" applyFont="1"/>
    <xf numFmtId="177" fontId="4" fillId="0" borderId="0" xfId="2" applyNumberFormat="1" applyFont="1" applyAlignment="1" applyProtection="1">
      <alignment horizontal="right"/>
    </xf>
    <xf numFmtId="3" fontId="4" fillId="0" borderId="0" xfId="0" applyNumberFormat="1" applyFont="1"/>
    <xf numFmtId="165" fontId="3" fillId="0" borderId="0" xfId="2" applyNumberFormat="1" applyFont="1" applyAlignment="1" applyProtection="1">
      <alignment horizontal="right"/>
    </xf>
    <xf numFmtId="164" fontId="3" fillId="0" borderId="0" xfId="2" applyNumberFormat="1" applyFont="1" applyAlignment="1" applyProtection="1">
      <alignment horizontal="right"/>
    </xf>
    <xf numFmtId="3" fontId="32" fillId="0" borderId="0" xfId="0" applyNumberFormat="1" applyFont="1"/>
    <xf numFmtId="0" fontId="4" fillId="0" borderId="0" xfId="0" applyFont="1" applyAlignment="1">
      <alignment horizontal="center" wrapText="1"/>
    </xf>
    <xf numFmtId="3" fontId="4" fillId="0" borderId="0" xfId="0" applyNumberFormat="1" applyFont="1" applyFill="1" applyProtection="1"/>
    <xf numFmtId="174" fontId="4" fillId="0" borderId="0" xfId="0" applyNumberFormat="1" applyFont="1" applyAlignment="1">
      <alignment horizontal="left"/>
    </xf>
    <xf numFmtId="167" fontId="3" fillId="0" borderId="0" xfId="0" applyNumberFormat="1" applyFont="1"/>
    <xf numFmtId="164" fontId="45" fillId="0" borderId="0" xfId="0" applyNumberFormat="1" applyFont="1"/>
    <xf numFmtId="2" fontId="35" fillId="0" borderId="0" xfId="0" applyNumberFormat="1" applyFont="1"/>
    <xf numFmtId="2" fontId="35" fillId="0" borderId="0" xfId="2" applyNumberFormat="1" applyFont="1"/>
    <xf numFmtId="0" fontId="7" fillId="0" borderId="0" xfId="0" applyFont="1" applyAlignment="1"/>
    <xf numFmtId="3" fontId="11" fillId="0" borderId="9" xfId="0" quotePrefix="1" applyNumberFormat="1" applyFont="1" applyBorder="1" applyProtection="1">
      <protection locked="0"/>
    </xf>
    <xf numFmtId="0" fontId="13" fillId="0" borderId="9" xfId="0" applyFont="1" applyBorder="1" applyAlignment="1" applyProtection="1">
      <protection locked="0"/>
    </xf>
    <xf numFmtId="165" fontId="4" fillId="0" borderId="0" xfId="0" applyNumberFormat="1" applyFont="1" applyProtection="1"/>
    <xf numFmtId="0" fontId="4" fillId="3" borderId="0" xfId="0" applyFont="1" applyFill="1"/>
    <xf numFmtId="164" fontId="4" fillId="0" borderId="0" xfId="2" applyNumberFormat="1" applyFont="1" applyAlignment="1" applyProtection="1">
      <alignment horizontal="right"/>
    </xf>
    <xf numFmtId="164" fontId="2" fillId="0" borderId="0" xfId="2" applyNumberFormat="1" applyFont="1"/>
    <xf numFmtId="0" fontId="4" fillId="0" borderId="0" xfId="0" applyFont="1" applyAlignment="1">
      <alignment horizontal="center"/>
    </xf>
    <xf numFmtId="1" fontId="1" fillId="0" borderId="0" xfId="2" applyNumberFormat="1" applyFont="1"/>
    <xf numFmtId="1" fontId="1" fillId="0" borderId="0" xfId="0" applyNumberFormat="1" applyFont="1"/>
    <xf numFmtId="8" fontId="4" fillId="0" borderId="0" xfId="0" applyNumberFormat="1" applyFont="1" applyProtection="1"/>
    <xf numFmtId="0" fontId="1" fillId="0" borderId="0" xfId="0" applyFont="1" applyFill="1"/>
    <xf numFmtId="165" fontId="0" fillId="0" borderId="0" xfId="2" applyNumberFormat="1" applyFont="1"/>
    <xf numFmtId="164" fontId="10" fillId="0" borderId="0" xfId="0" applyNumberFormat="1" applyFont="1"/>
    <xf numFmtId="6" fontId="10" fillId="0" borderId="0" xfId="0" applyNumberFormat="1" applyFont="1" applyProtection="1"/>
    <xf numFmtId="6" fontId="10" fillId="0" borderId="0" xfId="0" applyNumberFormat="1" applyFont="1"/>
    <xf numFmtId="165" fontId="17" fillId="0" borderId="0" xfId="0" applyNumberFormat="1" applyFont="1" applyFill="1"/>
    <xf numFmtId="9" fontId="16" fillId="4" borderId="0" xfId="2" applyFont="1" applyFill="1"/>
    <xf numFmtId="0" fontId="0" fillId="4" borderId="0" xfId="0" applyFill="1"/>
    <xf numFmtId="5" fontId="4" fillId="4" borderId="0" xfId="0" applyNumberFormat="1" applyFont="1" applyFill="1" applyProtection="1"/>
    <xf numFmtId="164" fontId="7" fillId="0" borderId="0" xfId="3" applyNumberFormat="1" applyFont="1" applyProtection="1">
      <protection locked="0"/>
    </xf>
    <xf numFmtId="1" fontId="29" fillId="0" borderId="0" xfId="3" applyNumberFormat="1" applyFont="1" applyProtection="1">
      <protection locked="0"/>
    </xf>
    <xf numFmtId="0" fontId="29" fillId="0" borderId="0" xfId="3" applyFont="1" applyProtection="1">
      <protection locked="0"/>
    </xf>
    <xf numFmtId="172" fontId="0" fillId="0" borderId="0" xfId="0" applyNumberFormat="1"/>
    <xf numFmtId="2" fontId="4" fillId="0" borderId="0" xfId="0" applyNumberFormat="1" applyFont="1" applyAlignment="1">
      <alignment horizontal="center"/>
    </xf>
    <xf numFmtId="8" fontId="14" fillId="2" borderId="0" xfId="0" applyNumberFormat="1" applyFont="1" applyFill="1"/>
    <xf numFmtId="172" fontId="35" fillId="0" borderId="0" xfId="0" applyNumberFormat="1" applyFont="1"/>
    <xf numFmtId="172" fontId="4" fillId="0" borderId="0" xfId="0" applyNumberFormat="1" applyFont="1"/>
    <xf numFmtId="172" fontId="4" fillId="0" borderId="0" xfId="0" applyNumberFormat="1" applyFont="1" applyAlignment="1" applyProtection="1">
      <alignment horizontal="right"/>
    </xf>
    <xf numFmtId="180" fontId="3" fillId="0" borderId="0" xfId="0" applyNumberFormat="1" applyFont="1" applyFill="1"/>
    <xf numFmtId="0" fontId="21" fillId="0" borderId="0" xfId="0" applyFont="1" applyAlignment="1">
      <alignment horizontal="center"/>
    </xf>
    <xf numFmtId="172" fontId="11" fillId="0" borderId="1" xfId="0" applyNumberFormat="1" applyFont="1" applyBorder="1" applyProtection="1">
      <protection locked="0"/>
    </xf>
    <xf numFmtId="164" fontId="29" fillId="0" borderId="0" xfId="0" applyNumberFormat="1" applyFont="1" applyBorder="1" applyProtection="1">
      <protection locked="0"/>
    </xf>
    <xf numFmtId="164" fontId="4" fillId="0" borderId="0" xfId="0" applyNumberFormat="1" applyFont="1" applyProtection="1">
      <protection locked="0"/>
    </xf>
    <xf numFmtId="0" fontId="3" fillId="0" borderId="0" xfId="0" applyFont="1" applyAlignment="1">
      <alignment wrapText="1"/>
    </xf>
    <xf numFmtId="0" fontId="3" fillId="0" borderId="0" xfId="0" applyFont="1" applyAlignment="1">
      <alignment horizontal="justify" vertical="center"/>
    </xf>
    <xf numFmtId="174" fontId="4" fillId="0" borderId="0" xfId="2" applyNumberFormat="1" applyFont="1" applyBorder="1" applyProtection="1"/>
    <xf numFmtId="0" fontId="4" fillId="0" borderId="0" xfId="0" applyFont="1" applyAlignment="1">
      <alignment horizontal="center"/>
    </xf>
    <xf numFmtId="0" fontId="4" fillId="0" borderId="0" xfId="0" applyFont="1" applyAlignment="1">
      <alignment horizontal="center"/>
    </xf>
    <xf numFmtId="1" fontId="4" fillId="0" borderId="0" xfId="0" applyNumberFormat="1" applyFont="1" applyProtection="1"/>
    <xf numFmtId="1" fontId="18" fillId="0" borderId="9" xfId="0" applyNumberFormat="1" applyFont="1" applyBorder="1" applyProtection="1">
      <protection locked="0"/>
    </xf>
    <xf numFmtId="1" fontId="18" fillId="0" borderId="0" xfId="0" applyNumberFormat="1" applyFont="1" applyProtection="1">
      <protection locked="0"/>
    </xf>
    <xf numFmtId="1" fontId="3" fillId="0" borderId="0" xfId="2" applyNumberFormat="1" applyFont="1" applyProtection="1"/>
    <xf numFmtId="0" fontId="3" fillId="0" borderId="0" xfId="0" applyFont="1" applyAlignment="1" applyProtection="1">
      <alignment horizontal="center"/>
    </xf>
    <xf numFmtId="0" fontId="1" fillId="0" borderId="0" xfId="0" applyFont="1" applyFill="1" applyAlignment="1">
      <alignment horizontal="fill"/>
    </xf>
    <xf numFmtId="164" fontId="4" fillId="0" borderId="0" xfId="0" applyNumberFormat="1" applyFont="1" applyBorder="1" applyProtection="1"/>
    <xf numFmtId="173" fontId="3" fillId="0" borderId="0" xfId="1" applyNumberFormat="1" applyFont="1" applyProtection="1"/>
    <xf numFmtId="6" fontId="3" fillId="0" borderId="0" xfId="0" applyNumberFormat="1" applyFont="1" applyFill="1"/>
    <xf numFmtId="9" fontId="3" fillId="0" borderId="0" xfId="2" applyFont="1" applyFill="1"/>
    <xf numFmtId="5" fontId="4" fillId="4" borderId="0" xfId="0" applyNumberFormat="1" applyFont="1" applyFill="1"/>
    <xf numFmtId="1" fontId="4" fillId="4" borderId="0" xfId="0" applyNumberFormat="1" applyFont="1" applyFill="1"/>
    <xf numFmtId="7" fontId="4" fillId="4" borderId="0" xfId="0" applyNumberFormat="1" applyFont="1" applyFill="1" applyBorder="1"/>
    <xf numFmtId="0" fontId="1" fillId="0" borderId="0" xfId="0" applyFont="1" applyFill="1" applyProtection="1"/>
    <xf numFmtId="0" fontId="4" fillId="2" borderId="0" xfId="0" applyFont="1" applyFill="1" applyProtection="1"/>
    <xf numFmtId="37" fontId="4" fillId="2" borderId="0" xfId="0" applyNumberFormat="1" applyFont="1" applyFill="1" applyProtection="1"/>
    <xf numFmtId="7" fontId="4" fillId="2" borderId="0" xfId="0" applyNumberFormat="1" applyFont="1" applyFill="1" applyProtection="1"/>
    <xf numFmtId="37" fontId="4" fillId="0" borderId="0" xfId="0" applyNumberFormat="1" applyFont="1" applyFill="1" applyProtection="1"/>
    <xf numFmtId="7" fontId="4" fillId="0" borderId="0" xfId="0" applyNumberFormat="1" applyFont="1" applyFill="1" applyProtection="1"/>
    <xf numFmtId="164" fontId="39" fillId="0" borderId="0" xfId="0" applyNumberFormat="1" applyFont="1" applyFill="1"/>
    <xf numFmtId="8" fontId="3" fillId="0" borderId="0" xfId="0" applyNumberFormat="1" applyFont="1" applyProtection="1">
      <protection locked="0"/>
    </xf>
    <xf numFmtId="0" fontId="4" fillId="0" borderId="0" xfId="0" applyFont="1" applyAlignment="1">
      <alignment horizontal="center"/>
    </xf>
    <xf numFmtId="0" fontId="0" fillId="0" borderId="0" xfId="0" applyAlignment="1"/>
    <xf numFmtId="0" fontId="43" fillId="0" borderId="0" xfId="0" applyFont="1" applyAlignment="1"/>
    <xf numFmtId="3" fontId="29" fillId="0" borderId="0" xfId="0" applyNumberFormat="1" applyFont="1" applyProtection="1"/>
    <xf numFmtId="165" fontId="3" fillId="0" borderId="0" xfId="2" applyNumberFormat="1" applyFont="1"/>
    <xf numFmtId="164" fontId="4" fillId="2" borderId="0" xfId="0" applyNumberFormat="1" applyFont="1" applyFill="1"/>
    <xf numFmtId="1" fontId="4" fillId="0" borderId="0" xfId="0" applyNumberFormat="1" applyFont="1" applyAlignment="1">
      <alignment horizontal="center"/>
    </xf>
    <xf numFmtId="179" fontId="4" fillId="0" borderId="0" xfId="0" applyNumberFormat="1" applyFont="1" applyAlignment="1" applyProtection="1">
      <alignment horizontal="center"/>
    </xf>
    <xf numFmtId="1" fontId="4" fillId="0" borderId="0" xfId="0" applyNumberFormat="1" applyFont="1" applyAlignment="1" applyProtection="1">
      <alignment horizontal="center"/>
    </xf>
    <xf numFmtId="169" fontId="0" fillId="0" borderId="0" xfId="0" applyNumberFormat="1"/>
    <xf numFmtId="164" fontId="31" fillId="0" borderId="0" xfId="0" applyNumberFormat="1" applyFont="1"/>
    <xf numFmtId="164" fontId="4" fillId="0" borderId="0" xfId="0" applyNumberFormat="1" applyFont="1" applyAlignment="1">
      <alignment horizontal="right"/>
    </xf>
    <xf numFmtId="165" fontId="42" fillId="0" borderId="0" xfId="0" applyNumberFormat="1" applyFont="1"/>
    <xf numFmtId="0" fontId="4" fillId="0" borderId="0" xfId="0" applyFont="1" applyAlignment="1"/>
    <xf numFmtId="173" fontId="35" fillId="0" borderId="0" xfId="0" applyNumberFormat="1" applyFont="1"/>
    <xf numFmtId="1" fontId="35" fillId="0" borderId="0" xfId="0" applyNumberFormat="1" applyFont="1"/>
    <xf numFmtId="165" fontId="1" fillId="0" borderId="0" xfId="2" applyNumberFormat="1" applyFont="1"/>
    <xf numFmtId="173" fontId="2" fillId="0" borderId="0" xfId="1" applyNumberFormat="1" applyFont="1"/>
    <xf numFmtId="3" fontId="47" fillId="0" borderId="3" xfId="0" applyNumberFormat="1" applyFont="1" applyBorder="1" applyProtection="1"/>
    <xf numFmtId="0" fontId="4" fillId="0" borderId="0" xfId="0" applyFont="1" applyAlignment="1">
      <alignment horizontal="center"/>
    </xf>
    <xf numFmtId="0" fontId="0" fillId="0" borderId="0" xfId="0" applyAlignment="1">
      <alignment horizontal="center"/>
    </xf>
    <xf numFmtId="0" fontId="0" fillId="0" borderId="0" xfId="0" applyAlignment="1"/>
    <xf numFmtId="8" fontId="17" fillId="0" borderId="0" xfId="0" applyNumberFormat="1" applyFont="1" applyFill="1"/>
    <xf numFmtId="0" fontId="4" fillId="0" borderId="0" xfId="0" applyFont="1" applyAlignment="1">
      <alignment horizontal="center"/>
    </xf>
    <xf numFmtId="8" fontId="3" fillId="0" borderId="0" xfId="0" applyNumberFormat="1" applyFont="1" applyFill="1"/>
    <xf numFmtId="0" fontId="0" fillId="0" borderId="0" xfId="0" applyAlignment="1">
      <alignment horizontal="center"/>
    </xf>
    <xf numFmtId="0" fontId="3" fillId="0" borderId="0" xfId="0" applyFont="1" applyAlignment="1"/>
    <xf numFmtId="0" fontId="14" fillId="0" borderId="0" xfId="0" applyFont="1" applyAlignment="1">
      <alignment horizontal="center"/>
    </xf>
    <xf numFmtId="0" fontId="15" fillId="0" borderId="0" xfId="0" applyFont="1" applyAlignment="1">
      <alignment horizontal="center"/>
    </xf>
    <xf numFmtId="0" fontId="1" fillId="0" borderId="0" xfId="0" quotePrefix="1" applyFont="1"/>
    <xf numFmtId="0" fontId="3" fillId="0" borderId="0" xfId="0" applyFont="1" applyProtection="1"/>
    <xf numFmtId="0" fontId="46" fillId="0" borderId="0" xfId="0" applyFont="1" applyBorder="1" applyAlignment="1" applyProtection="1">
      <protection locked="0"/>
    </xf>
    <xf numFmtId="0" fontId="26" fillId="0" borderId="0" xfId="0" applyFont="1" applyBorder="1" applyAlignment="1" applyProtection="1">
      <protection locked="0"/>
    </xf>
    <xf numFmtId="0" fontId="11" fillId="0" borderId="0" xfId="0" applyFont="1" applyAlignment="1"/>
    <xf numFmtId="164" fontId="7" fillId="0" borderId="9" xfId="0" applyNumberFormat="1" applyFont="1" applyBorder="1" applyProtection="1">
      <protection locked="0"/>
    </xf>
    <xf numFmtId="2" fontId="3" fillId="0" borderId="0" xfId="2" applyNumberFormat="1" applyFont="1"/>
    <xf numFmtId="178" fontId="4" fillId="0" borderId="0" xfId="0" applyNumberFormat="1" applyFont="1" applyFill="1" applyBorder="1" applyProtection="1"/>
    <xf numFmtId="0" fontId="3" fillId="0" borderId="0" xfId="0" quotePrefix="1" applyFont="1" applyFill="1" applyAlignment="1">
      <alignment horizontal="fill"/>
    </xf>
    <xf numFmtId="178" fontId="1" fillId="0" borderId="0" xfId="0" applyNumberFormat="1" applyFont="1" applyFill="1" applyProtection="1"/>
    <xf numFmtId="9" fontId="3" fillId="0" borderId="0" xfId="2" applyFont="1" applyBorder="1" applyProtection="1"/>
    <xf numFmtId="1" fontId="11" fillId="0" borderId="9" xfId="0" applyNumberFormat="1" applyFont="1" applyBorder="1" applyProtection="1">
      <protection locked="0"/>
    </xf>
    <xf numFmtId="1" fontId="10" fillId="0" borderId="0" xfId="0" applyNumberFormat="1" applyFont="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47" fillId="0" borderId="9" xfId="0" applyFont="1" applyBorder="1" applyProtection="1">
      <protection locked="0"/>
    </xf>
    <xf numFmtId="1" fontId="3" fillId="0" borderId="0" xfId="2" applyNumberFormat="1" applyFont="1"/>
    <xf numFmtId="0" fontId="1" fillId="0" borderId="0" xfId="0" applyFont="1" applyAlignment="1">
      <alignment horizontal="center"/>
    </xf>
    <xf numFmtId="164" fontId="29" fillId="0" borderId="0" xfId="0" applyNumberFormat="1" applyFont="1"/>
    <xf numFmtId="1" fontId="29" fillId="0" borderId="0" xfId="0" applyNumberFormat="1" applyFont="1"/>
    <xf numFmtId="9" fontId="29" fillId="0" borderId="0" xfId="0" applyNumberFormat="1" applyFont="1"/>
    <xf numFmtId="0" fontId="47" fillId="0" borderId="0" xfId="0" applyFont="1"/>
    <xf numFmtId="0" fontId="4" fillId="0" borderId="0" xfId="0" applyFont="1" applyAlignment="1">
      <alignment horizontal="center"/>
    </xf>
    <xf numFmtId="0" fontId="0" fillId="0" borderId="0" xfId="0" applyAlignment="1">
      <alignment horizontal="center"/>
    </xf>
    <xf numFmtId="0" fontId="0" fillId="0" borderId="0" xfId="0" applyAlignment="1"/>
    <xf numFmtId="0" fontId="3" fillId="0" borderId="0" xfId="0" applyFont="1" applyAlignment="1">
      <alignment horizontal="center"/>
    </xf>
    <xf numFmtId="1" fontId="18" fillId="0" borderId="0" xfId="0" applyNumberFormat="1" applyFont="1" applyBorder="1" applyProtection="1">
      <protection locked="0"/>
    </xf>
    <xf numFmtId="0" fontId="4" fillId="0" borderId="0" xfId="0" applyFont="1" applyFill="1" applyBorder="1"/>
    <xf numFmtId="1" fontId="4" fillId="0" borderId="0" xfId="0" applyNumberFormat="1" applyFont="1" applyAlignment="1">
      <alignment horizontal="right"/>
    </xf>
    <xf numFmtId="0" fontId="49" fillId="0" borderId="0" xfId="0" applyFont="1"/>
    <xf numFmtId="9" fontId="3" fillId="0" borderId="0" xfId="2" applyFont="1" applyBorder="1" applyAlignment="1">
      <alignment horizontal="right"/>
    </xf>
    <xf numFmtId="1" fontId="3" fillId="0" borderId="0" xfId="0" applyNumberFormat="1" applyFont="1" applyBorder="1" applyAlignment="1">
      <alignment horizontal="left"/>
    </xf>
    <xf numFmtId="1" fontId="3" fillId="0" borderId="0" xfId="0" applyNumberFormat="1" applyFont="1" applyBorder="1" applyAlignment="1">
      <alignment horizontal="right"/>
    </xf>
    <xf numFmtId="165" fontId="3" fillId="0" borderId="0" xfId="0" applyNumberFormat="1" applyFont="1" applyBorder="1" applyAlignment="1">
      <alignment horizontal="right"/>
    </xf>
    <xf numFmtId="165" fontId="0" fillId="0" borderId="0" xfId="0" applyNumberFormat="1" applyBorder="1"/>
    <xf numFmtId="0" fontId="4" fillId="0" borderId="0" xfId="0" applyFont="1" applyBorder="1"/>
    <xf numFmtId="6" fontId="4" fillId="0" borderId="0" xfId="0" applyNumberFormat="1" applyFont="1" applyBorder="1"/>
    <xf numFmtId="4" fontId="4" fillId="0" borderId="0" xfId="0" applyNumberFormat="1" applyFont="1" applyBorder="1" applyAlignment="1" applyProtection="1">
      <alignment horizontal="center"/>
    </xf>
    <xf numFmtId="0" fontId="31" fillId="0" borderId="0" xfId="0" applyFont="1"/>
    <xf numFmtId="1" fontId="50" fillId="0" borderId="6" xfId="0" applyNumberFormat="1" applyFont="1" applyBorder="1" applyProtection="1">
      <protection locked="0"/>
    </xf>
    <xf numFmtId="6" fontId="50" fillId="0" borderId="9" xfId="0" applyNumberFormat="1" applyFont="1" applyBorder="1" applyProtection="1">
      <protection locked="0"/>
    </xf>
    <xf numFmtId="6" fontId="3" fillId="0" borderId="0" xfId="0" applyNumberFormat="1" applyFont="1" applyBorder="1"/>
    <xf numFmtId="9" fontId="4" fillId="0" borderId="0" xfId="0" applyNumberFormat="1" applyFont="1" applyAlignment="1">
      <alignment horizontal="center"/>
    </xf>
    <xf numFmtId="1" fontId="4" fillId="0" borderId="0" xfId="0" applyNumberFormat="1" applyFont="1" applyBorder="1" applyProtection="1">
      <protection locked="0"/>
    </xf>
    <xf numFmtId="0" fontId="3" fillId="4" borderId="0" xfId="0" applyFont="1" applyFill="1"/>
    <xf numFmtId="1" fontId="4" fillId="4" borderId="0" xfId="0" applyNumberFormat="1" applyFont="1" applyFill="1" applyBorder="1" applyProtection="1"/>
    <xf numFmtId="1" fontId="18" fillId="4" borderId="0" xfId="0" applyNumberFormat="1" applyFont="1" applyFill="1" applyBorder="1" applyProtection="1">
      <protection locked="0"/>
    </xf>
    <xf numFmtId="0" fontId="4" fillId="0" borderId="0" xfId="0" applyFont="1" applyAlignment="1">
      <alignment horizontal="center"/>
    </xf>
    <xf numFmtId="0" fontId="3" fillId="0" borderId="0" xfId="0" applyFont="1" applyAlignment="1"/>
    <xf numFmtId="1" fontId="50" fillId="0" borderId="0" xfId="0" applyNumberFormat="1" applyFont="1" applyBorder="1" applyProtection="1">
      <protection locked="0"/>
    </xf>
    <xf numFmtId="1" fontId="3" fillId="0" borderId="0" xfId="0" applyNumberFormat="1" applyFont="1" applyBorder="1" applyAlignment="1">
      <alignment horizontal="center"/>
    </xf>
    <xf numFmtId="3" fontId="3" fillId="0" borderId="0" xfId="0" applyNumberFormat="1" applyFont="1" applyBorder="1" applyAlignment="1">
      <alignment horizontal="center"/>
    </xf>
    <xf numFmtId="0" fontId="0" fillId="0" borderId="0" xfId="0" applyBorder="1"/>
    <xf numFmtId="1" fontId="4" fillId="0" borderId="0" xfId="0" applyNumberFormat="1" applyFont="1" applyBorder="1" applyAlignment="1">
      <alignment horizontal="right"/>
    </xf>
    <xf numFmtId="0" fontId="2" fillId="0" borderId="0" xfId="0" applyFont="1" applyBorder="1"/>
    <xf numFmtId="0" fontId="4" fillId="4" borderId="0" xfId="0" applyFont="1" applyFill="1" applyBorder="1"/>
    <xf numFmtId="6" fontId="4" fillId="4" borderId="0" xfId="0" applyNumberFormat="1" applyFont="1" applyFill="1" applyBorder="1"/>
    <xf numFmtId="1" fontId="4" fillId="4" borderId="0" xfId="0" applyNumberFormat="1" applyFont="1" applyFill="1" applyBorder="1" applyAlignment="1" applyProtection="1">
      <alignment horizontal="right"/>
    </xf>
    <xf numFmtId="0" fontId="48" fillId="0" borderId="0" xfId="0" applyFont="1" applyBorder="1" applyAlignment="1" applyProtection="1">
      <alignment horizontal="left"/>
      <protection locked="0"/>
    </xf>
    <xf numFmtId="0" fontId="49" fillId="0" borderId="0" xfId="0" applyFont="1" applyBorder="1" applyAlignment="1" applyProtection="1">
      <alignment horizontal="left"/>
      <protection locked="0"/>
    </xf>
    <xf numFmtId="164" fontId="4" fillId="0" borderId="0" xfId="0" applyNumberFormat="1" applyFont="1" applyBorder="1" applyAlignment="1" applyProtection="1">
      <alignment horizontal="left"/>
    </xf>
    <xf numFmtId="1" fontId="4" fillId="0" borderId="0" xfId="0" quotePrefix="1" applyNumberFormat="1" applyFont="1" applyBorder="1" applyProtection="1"/>
    <xf numFmtId="1" fontId="20" fillId="0" borderId="0" xfId="0" applyNumberFormat="1" applyFont="1" applyBorder="1" applyProtection="1">
      <protection locked="0"/>
    </xf>
    <xf numFmtId="0" fontId="51" fillId="0" borderId="0" xfId="0" applyFont="1"/>
    <xf numFmtId="9" fontId="42" fillId="0" borderId="0" xfId="2" applyFont="1"/>
    <xf numFmtId="9" fontId="4" fillId="0" borderId="0" xfId="2" applyFont="1" applyBorder="1" applyProtection="1"/>
    <xf numFmtId="1" fontId="3" fillId="0" borderId="0" xfId="0" applyNumberFormat="1" applyFont="1" applyAlignment="1">
      <alignment horizontal="right"/>
    </xf>
    <xf numFmtId="6" fontId="4" fillId="2" borderId="0" xfId="0" applyNumberFormat="1" applyFont="1" applyFill="1" applyBorder="1" applyAlignment="1">
      <alignment horizontal="right"/>
    </xf>
    <xf numFmtId="173" fontId="4" fillId="2" borderId="0" xfId="0" applyNumberFormat="1" applyFont="1" applyFill="1"/>
    <xf numFmtId="6" fontId="3" fillId="0" borderId="0" xfId="2" applyNumberFormat="1" applyFont="1" applyAlignment="1">
      <alignment horizontal="center"/>
    </xf>
    <xf numFmtId="1" fontId="4" fillId="0" borderId="2" xfId="0" applyNumberFormat="1" applyFont="1" applyBorder="1" applyProtection="1"/>
    <xf numFmtId="0" fontId="33" fillId="0" borderId="9" xfId="0" applyFont="1" applyFill="1" applyBorder="1" applyProtection="1">
      <protection locked="0"/>
    </xf>
    <xf numFmtId="0" fontId="52" fillId="0" borderId="0" xfId="0" applyFont="1" applyAlignment="1"/>
    <xf numFmtId="0" fontId="52" fillId="0" borderId="0" xfId="0" applyFont="1"/>
    <xf numFmtId="165" fontId="4" fillId="4" borderId="0" xfId="0" applyNumberFormat="1" applyFont="1" applyFill="1" applyBorder="1" applyProtection="1"/>
    <xf numFmtId="3" fontId="4" fillId="2" borderId="0" xfId="0" applyNumberFormat="1" applyFont="1" applyFill="1" applyProtection="1"/>
    <xf numFmtId="164" fontId="21" fillId="0" borderId="0" xfId="0" applyNumberFormat="1" applyFont="1" applyBorder="1" applyProtection="1"/>
    <xf numFmtId="164" fontId="3" fillId="0" borderId="0" xfId="0" applyNumberFormat="1" applyFont="1" applyBorder="1" applyProtection="1"/>
    <xf numFmtId="170" fontId="47" fillId="0" borderId="9" xfId="0" applyNumberFormat="1" applyFont="1" applyBorder="1" applyProtection="1">
      <protection locked="0"/>
    </xf>
    <xf numFmtId="0" fontId="4" fillId="0" borderId="0" xfId="0" applyFont="1" applyAlignment="1">
      <alignment horizontal="center"/>
    </xf>
    <xf numFmtId="0" fontId="0" fillId="0" borderId="0" xfId="0" applyAlignment="1">
      <alignment horizontal="center"/>
    </xf>
    <xf numFmtId="0" fontId="30" fillId="0" borderId="2" xfId="0" applyFont="1" applyBorder="1" applyAlignment="1" applyProtection="1">
      <alignment horizontal="left"/>
      <protection locked="0"/>
    </xf>
    <xf numFmtId="0" fontId="29" fillId="0" borderId="2" xfId="0" applyFont="1" applyBorder="1" applyAlignment="1" applyProtection="1">
      <alignment horizontal="left"/>
      <protection locked="0"/>
    </xf>
    <xf numFmtId="0" fontId="30" fillId="0" borderId="4" xfId="0" applyFont="1" applyBorder="1" applyAlignment="1" applyProtection="1">
      <alignment horizontal="left"/>
      <protection locked="0"/>
    </xf>
    <xf numFmtId="0" fontId="4" fillId="0" borderId="0" xfId="0" applyFont="1" applyBorder="1" applyAlignment="1">
      <alignment horizontal="center"/>
    </xf>
    <xf numFmtId="0" fontId="0" fillId="0" borderId="0" xfId="0" applyBorder="1" applyAlignment="1"/>
    <xf numFmtId="0" fontId="0" fillId="0" borderId="0" xfId="0" applyAlignment="1"/>
    <xf numFmtId="0" fontId="37" fillId="0" borderId="0" xfId="0" applyFont="1" applyAlignment="1">
      <alignment vertical="center" wrapText="1"/>
    </xf>
    <xf numFmtId="0" fontId="2" fillId="0" borderId="0" xfId="0" applyFont="1" applyAlignment="1">
      <alignment horizontal="center"/>
    </xf>
    <xf numFmtId="0" fontId="37" fillId="0" borderId="0" xfId="0" applyFont="1" applyAlignment="1">
      <alignment horizontal="justify" vertical="center" wrapText="1"/>
    </xf>
    <xf numFmtId="0" fontId="0" fillId="0" borderId="0" xfId="0" applyAlignment="1">
      <alignment wrapText="1"/>
    </xf>
    <xf numFmtId="0" fontId="3" fillId="0" borderId="0" xfId="0" applyFont="1" applyAlignment="1"/>
    <xf numFmtId="0" fontId="33" fillId="0" borderId="5" xfId="0" applyFont="1" applyBorder="1" applyAlignment="1" applyProtection="1">
      <alignment horizontal="left"/>
      <protection locked="0"/>
    </xf>
    <xf numFmtId="0" fontId="33" fillId="0" borderId="2" xfId="0" applyFont="1" applyBorder="1" applyAlignment="1" applyProtection="1">
      <protection locked="0"/>
    </xf>
    <xf numFmtId="0" fontId="33" fillId="0" borderId="6" xfId="0" applyFont="1" applyBorder="1" applyAlignment="1" applyProtection="1">
      <protection locked="0"/>
    </xf>
    <xf numFmtId="0" fontId="14" fillId="0" borderId="0" xfId="0" applyFont="1" applyAlignment="1">
      <alignment horizontal="center"/>
    </xf>
    <xf numFmtId="0" fontId="46" fillId="0" borderId="5" xfId="0" applyFont="1" applyBorder="1" applyAlignment="1" applyProtection="1">
      <protection locked="0"/>
    </xf>
    <xf numFmtId="0" fontId="26" fillId="0" borderId="2" xfId="0" applyFont="1" applyBorder="1" applyAlignment="1" applyProtection="1">
      <protection locked="0"/>
    </xf>
    <xf numFmtId="0" fontId="26" fillId="0" borderId="6" xfId="0" applyFont="1" applyBorder="1" applyAlignment="1" applyProtection="1">
      <protection locked="0"/>
    </xf>
    <xf numFmtId="0" fontId="15" fillId="0" borderId="0" xfId="0" applyFont="1" applyAlignment="1">
      <alignment horizontal="center"/>
    </xf>
    <xf numFmtId="0" fontId="21" fillId="0" borderId="0" xfId="0" applyFont="1" applyBorder="1" applyAlignment="1" applyProtection="1">
      <protection locked="0"/>
    </xf>
    <xf numFmtId="0" fontId="42" fillId="0" borderId="0" xfId="0" applyFont="1" applyAlignment="1">
      <alignment horizontal="center"/>
    </xf>
    <xf numFmtId="0" fontId="43" fillId="0" borderId="0" xfId="0" applyFont="1" applyAlignment="1"/>
    <xf numFmtId="0" fontId="4" fillId="0" borderId="0" xfId="0" applyNumberFormat="1" applyFont="1" applyAlignment="1">
      <alignment horizontal="center"/>
    </xf>
    <xf numFmtId="0" fontId="0" fillId="0" borderId="0" xfId="0" applyNumberFormat="1" applyAlignment="1">
      <alignment horizontal="center"/>
    </xf>
    <xf numFmtId="0" fontId="4" fillId="0" borderId="0" xfId="0" applyFont="1" applyAlignment="1">
      <alignment horizontal="left"/>
    </xf>
    <xf numFmtId="0" fontId="0" fillId="0" borderId="0" xfId="0" applyAlignment="1">
      <alignment horizontal="left"/>
    </xf>
    <xf numFmtId="0" fontId="3" fillId="0" borderId="0" xfId="0" applyFont="1" applyAlignment="1">
      <alignment horizontal="center"/>
    </xf>
  </cellXfs>
  <cellStyles count="4">
    <cellStyle name="Comma" xfId="1" builtinId="3"/>
    <cellStyle name="Normal" xfId="0" builtinId="0"/>
    <cellStyle name="Normal 2" xfId="3" xr:uid="{00000000-0005-0000-0000-00002F000000}"/>
    <cellStyle name="Percent" xfId="2" builtinId="5"/>
  </cellStyles>
  <dxfs count="0"/>
  <tableStyles count="0" defaultTableStyle="TableStyleMedium9" defaultPivotStyle="PivotStyleLight16"/>
  <colors>
    <mruColors>
      <color rgb="FF0000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Necessary Bred</a:t>
            </a:r>
            <a:r>
              <a:rPr lang="en-US" sz="1200" baseline="0">
                <a:solidFill>
                  <a:sysClr val="windowText" lastClr="000000"/>
                </a:solidFill>
                <a:latin typeface="Arial" panose="020B0604020202020204" pitchFamily="34" charset="0"/>
                <a:cs typeface="Arial" panose="020B0604020202020204" pitchFamily="34" charset="0"/>
              </a:rPr>
              <a:t> Heifer </a:t>
            </a:r>
            <a:r>
              <a:rPr lang="en-US" sz="1200">
                <a:solidFill>
                  <a:sysClr val="windowText" lastClr="000000"/>
                </a:solidFill>
                <a:latin typeface="Arial" panose="020B0604020202020204" pitchFamily="34" charset="0"/>
                <a:cs typeface="Arial" panose="020B0604020202020204" pitchFamily="34" charset="0"/>
              </a:rPr>
              <a:t>Price to Cover Costs and </a:t>
            </a:r>
          </a:p>
          <a:p>
            <a:pPr>
              <a:defRPr sz="1200">
                <a:solidFill>
                  <a:sysClr val="windowText" lastClr="000000"/>
                </a:solidFill>
                <a:latin typeface="Arial" panose="020B0604020202020204" pitchFamily="34" charset="0"/>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Target Net Income Margin Based on Heifer Cost In - $/Hd.</a:t>
            </a:r>
          </a:p>
          <a:p>
            <a:pPr>
              <a:defRPr sz="1200">
                <a:solidFill>
                  <a:sysClr val="windowText" lastClr="000000"/>
                </a:solidFill>
                <a:latin typeface="Arial" panose="020B0604020202020204" pitchFamily="34" charset="0"/>
                <a:cs typeface="Arial" panose="020B0604020202020204" pitchFamily="34" charset="0"/>
              </a:defRPr>
            </a:pPr>
            <a:endParaRPr lang="en-US" sz="1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587404082451476"/>
          <c:y val="2.6770315725097471E-2"/>
        </c:manualLayout>
      </c:layout>
      <c:overlay val="0"/>
      <c:spPr>
        <a:noFill/>
        <a:ln>
          <a:noFill/>
        </a:ln>
        <a:effectLst/>
      </c:spPr>
      <c:txPr>
        <a:bodyPr rot="0" spcFirstLastPara="1" vertOverflow="ellipsis" vert="horz" wrap="square" anchor="ctr" anchorCtr="1"/>
        <a:lstStyle/>
        <a:p>
          <a:pPr>
            <a:defRPr sz="12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endParaRPr lang="en-US"/>
        </a:p>
      </c:txPr>
    </c:title>
    <c:autoTitleDeleted val="0"/>
    <c:plotArea>
      <c:layout/>
      <c:lineChart>
        <c:grouping val="standard"/>
        <c:varyColors val="0"/>
        <c:ser>
          <c:idx val="0"/>
          <c:order val="0"/>
          <c:tx>
            <c:strRef>
              <c:f>'2.WeanedCalf to Sell Bred Heif '!$J$135</c:f>
              <c:strCache>
                <c:ptCount val="1"/>
                <c:pt idx="0">
                  <c:v>Price Out</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'2.WeanedCalf to Sell Bred Heif '!$K$134:$O$134</c:f>
              <c:numCache>
                <c:formatCode>"$"#,##0</c:formatCode>
                <c:ptCount val="5"/>
                <c:pt idx="0">
                  <c:v>583</c:v>
                </c:pt>
                <c:pt idx="1">
                  <c:v>636</c:v>
                </c:pt>
                <c:pt idx="2">
                  <c:v>689</c:v>
                </c:pt>
                <c:pt idx="3">
                  <c:v>742</c:v>
                </c:pt>
                <c:pt idx="4">
                  <c:v>795</c:v>
                </c:pt>
              </c:numCache>
            </c:numRef>
          </c:cat>
          <c:val>
            <c:numRef>
              <c:f>'2.WeanedCalf to Sell Bred Heif '!$K$135:$O$135</c:f>
              <c:numCache>
                <c:formatCode>"$"#,##0</c:formatCode>
                <c:ptCount val="5"/>
                <c:pt idx="0">
                  <c:v>1328.1360550385898</c:v>
                </c:pt>
                <c:pt idx="1">
                  <c:v>1392.0236140380212</c:v>
                </c:pt>
                <c:pt idx="2">
                  <c:v>1455.911173037452</c:v>
                </c:pt>
                <c:pt idx="3">
                  <c:v>1519.7987320368832</c:v>
                </c:pt>
                <c:pt idx="4">
                  <c:v>1583.6862910363143</c:v>
                </c:pt>
              </c:numCache>
            </c:numRef>
          </c:val>
          <c:smooth val="0"/>
          <c:extLst>
            <c:ext xmlns:c16="http://schemas.microsoft.com/office/drawing/2014/chart" uri="{C3380CC4-5D6E-409C-BE32-E72D297353CC}">
              <c16:uniqueId val="{00000000-4562-4F88-B838-A6ED328213EF}"/>
            </c:ext>
          </c:extLst>
        </c:ser>
        <c:dLbls>
          <c:dLblPos val="ctr"/>
          <c:showLegendKey val="0"/>
          <c:showVal val="1"/>
          <c:showCatName val="0"/>
          <c:showSerName val="0"/>
          <c:showPercent val="0"/>
          <c:showBubbleSize val="0"/>
        </c:dLbls>
        <c:smooth val="0"/>
        <c:axId val="260680296"/>
        <c:axId val="260680688"/>
      </c:lineChart>
      <c:catAx>
        <c:axId val="26068029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1100">
                    <a:solidFill>
                      <a:sysClr val="windowText" lastClr="000000"/>
                    </a:solidFill>
                    <a:latin typeface="Arial" panose="020B0604020202020204" pitchFamily="34" charset="0"/>
                    <a:cs typeface="Arial" panose="020B0604020202020204" pitchFamily="34" charset="0"/>
                  </a:rPr>
                  <a:t>Cost of Heifer In - $/Head</a:t>
                </a:r>
                <a:r>
                  <a:rPr lang="en-US" sz="1100" baseline="0">
                    <a:solidFill>
                      <a:sysClr val="windowText" lastClr="000000"/>
                    </a:solidFill>
                    <a:latin typeface="Arial" panose="020B0604020202020204" pitchFamily="34" charset="0"/>
                    <a:cs typeface="Arial" panose="020B0604020202020204" pitchFamily="34" charset="0"/>
                  </a:rPr>
                  <a:t> </a:t>
                </a:r>
                <a:endParaRPr lang="en-US"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1574691163604549"/>
              <c:y val="0.95278247309550856"/>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1" i="0" u="none" strike="noStrike" kern="1200" cap="none" spc="0" normalizeH="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0680688"/>
        <c:crosses val="autoZero"/>
        <c:auto val="1"/>
        <c:lblAlgn val="ctr"/>
        <c:lblOffset val="100"/>
        <c:noMultiLvlLbl val="0"/>
      </c:catAx>
      <c:valAx>
        <c:axId val="260680688"/>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a:solidFill>
                      <a:sysClr val="windowText" lastClr="000000"/>
                    </a:solidFill>
                    <a:latin typeface="Arial" panose="020B0604020202020204" pitchFamily="34" charset="0"/>
                    <a:cs typeface="Arial" panose="020B0604020202020204" pitchFamily="34" charset="0"/>
                  </a:rPr>
                  <a:t>Necessary Price Out -$/Hd.</a:t>
                </a:r>
              </a:p>
            </c:rich>
          </c:tx>
          <c:layout>
            <c:manualLayout>
              <c:xMode val="edge"/>
              <c:yMode val="edge"/>
              <c:x val="1.751592356687898E-2"/>
              <c:y val="0.40415258772265117"/>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068029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Bred Replacement Heifer Costs</a:t>
            </a:r>
          </a:p>
        </c:rich>
      </c:tx>
      <c:layout>
        <c:manualLayout>
          <c:xMode val="edge"/>
          <c:yMode val="edge"/>
          <c:x val="0.40073416222616931"/>
          <c:y val="1.990049751243781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040-40FB-BCB3-76179AA859B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040-40FB-BCB3-76179AA859B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040-40FB-BCB3-76179AA859B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040-40FB-BCB3-76179AA859B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040-40FB-BCB3-76179AA859BA}"/>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A040-40FB-BCB3-76179AA859BA}"/>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A040-40FB-BCB3-76179AA859B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 Summary Report'!$B$34:$B$40</c:f>
              <c:strCache>
                <c:ptCount val="7"/>
                <c:pt idx="0">
                  <c:v>  Adjusted Heifer Initial Cost*</c:v>
                </c:pt>
                <c:pt idx="1">
                  <c:v>  Feed &amp; Grazing </c:v>
                </c:pt>
                <c:pt idx="2">
                  <c:v>  Process &amp; Health</c:v>
                </c:pt>
                <c:pt idx="3">
                  <c:v>  Other Direct Costs</c:v>
                </c:pt>
                <c:pt idx="4">
                  <c:v>  Breeding System </c:v>
                </c:pt>
                <c:pt idx="5">
                  <c:v> Total Indirect Costs</c:v>
                </c:pt>
                <c:pt idx="6">
                  <c:v>  Finance</c:v>
                </c:pt>
              </c:strCache>
            </c:strRef>
          </c:cat>
          <c:val>
            <c:numRef>
              <c:f>'3. Summary Report'!$C$34:$C$40</c:f>
              <c:numCache>
                <c:formatCode>"$"#,##0_);[Red]\("$"#,##0\)</c:formatCode>
                <c:ptCount val="7"/>
                <c:pt idx="0">
                  <c:v>645.85648148148152</c:v>
                </c:pt>
                <c:pt idx="1">
                  <c:v>308.62268518518516</c:v>
                </c:pt>
                <c:pt idx="2">
                  <c:v>28.935185185185183</c:v>
                </c:pt>
                <c:pt idx="3">
                  <c:v>0</c:v>
                </c:pt>
                <c:pt idx="4">
                  <c:v>152.14988425925927</c:v>
                </c:pt>
                <c:pt idx="5">
                  <c:v>173.51388888888889</c:v>
                </c:pt>
                <c:pt idx="6">
                  <c:v>47.782417237442921</c:v>
                </c:pt>
              </c:numCache>
            </c:numRef>
          </c:val>
          <c:extLst>
            <c:ext xmlns:c16="http://schemas.microsoft.com/office/drawing/2014/chart" uri="{C3380CC4-5D6E-409C-BE32-E72D297353CC}">
              <c16:uniqueId val="{0000000E-A040-40FB-BCB3-76179AA859B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AI Bred</a:t>
            </a:r>
            <a:r>
              <a:rPr lang="en-US" baseline="0"/>
              <a:t> Heifer Costs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823-4ADB-88B9-DC74CCE5066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823-4ADB-88B9-DC74CCE5066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823-4ADB-88B9-DC74CCE5066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823-4ADB-88B9-DC74CCE50663}"/>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823-4ADB-88B9-DC74CCE5066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A823-4ADB-88B9-DC74CCE5066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A823-4ADB-88B9-DC74CCE5066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 Sexed Semen AI Summary'!$B$17:$B$23</c:f>
              <c:strCache>
                <c:ptCount val="7"/>
                <c:pt idx="0">
                  <c:v>  Adjusted Heifer Initial Cost*</c:v>
                </c:pt>
                <c:pt idx="1">
                  <c:v>  Feed &amp; Grazing </c:v>
                </c:pt>
                <c:pt idx="2">
                  <c:v>  Other</c:v>
                </c:pt>
                <c:pt idx="3">
                  <c:v>  Process &amp; Health</c:v>
                </c:pt>
                <c:pt idx="4">
                  <c:v>  Breeding System</c:v>
                </c:pt>
                <c:pt idx="5">
                  <c:v>  Interest </c:v>
                </c:pt>
                <c:pt idx="6">
                  <c:v>  Indirect Cost</c:v>
                </c:pt>
              </c:strCache>
            </c:strRef>
          </c:cat>
          <c:val>
            <c:numRef>
              <c:f>'5. Sexed Semen AI Summary'!$C$17:$C$23</c:f>
              <c:numCache>
                <c:formatCode>"$"#,##0_);[Red]\("$"#,##0\)</c:formatCode>
                <c:ptCount val="7"/>
                <c:pt idx="0">
                  <c:v>645.85648148148152</c:v>
                </c:pt>
                <c:pt idx="1">
                  <c:v>308.62268518518516</c:v>
                </c:pt>
                <c:pt idx="2">
                  <c:v>0</c:v>
                </c:pt>
                <c:pt idx="3">
                  <c:v>28.935185185185183</c:v>
                </c:pt>
                <c:pt idx="4" formatCode="&quot;$&quot;#,##0.00_);[Red]\(&quot;$&quot;#,##0.00\)">
                  <c:v>152.14988425925927</c:v>
                </c:pt>
                <c:pt idx="5">
                  <c:v>47.782417237442921</c:v>
                </c:pt>
                <c:pt idx="6">
                  <c:v>173.51388888888889</c:v>
                </c:pt>
              </c:numCache>
            </c:numRef>
          </c:val>
          <c:extLst>
            <c:ext xmlns:c16="http://schemas.microsoft.com/office/drawing/2014/chart" uri="{C3380CC4-5D6E-409C-BE32-E72D297353CC}">
              <c16:uniqueId val="{0000000E-A823-4ADB-88B9-DC74CCE5066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70756</xdr:colOff>
      <xdr:row>4</xdr:row>
      <xdr:rowOff>38100</xdr:rowOff>
    </xdr:from>
    <xdr:to>
      <xdr:col>8</xdr:col>
      <xdr:colOff>114299</xdr:colOff>
      <xdr:row>6</xdr:row>
      <xdr:rowOff>43543</xdr:rowOff>
    </xdr:to>
    <xdr:pic>
      <xdr:nvPicPr>
        <xdr:cNvPr id="3" name="Picture 2" descr="TAMAgEXT">
          <a:extLst>
            <a:ext uri="{FF2B5EF4-FFF2-40B4-BE49-F238E27FC236}">
              <a16:creationId xmlns:a16="http://schemas.microsoft.com/office/drawing/2014/main" id="{28AFF7C4-36B9-43C3-8900-EDB1898EA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8370" y="821871"/>
          <a:ext cx="1665515" cy="397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18594</xdr:colOff>
      <xdr:row>130</xdr:row>
      <xdr:rowOff>158750</xdr:rowOff>
    </xdr:from>
    <xdr:to>
      <xdr:col>6</xdr:col>
      <xdr:colOff>609141</xdr:colOff>
      <xdr:row>163</xdr:row>
      <xdr:rowOff>76200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34924</xdr:colOff>
      <xdr:row>50</xdr:row>
      <xdr:rowOff>48985</xdr:rowOff>
    </xdr:from>
    <xdr:to>
      <xdr:col>4</xdr:col>
      <xdr:colOff>854528</xdr:colOff>
      <xdr:row>67</xdr:row>
      <xdr:rowOff>127000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63500</xdr:colOff>
      <xdr:row>35</xdr:row>
      <xdr:rowOff>38100</xdr:rowOff>
    </xdr:from>
    <xdr:to>
      <xdr:col>5</xdr:col>
      <xdr:colOff>920749</xdr:colOff>
      <xdr:row>58</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9"/>
  <sheetViews>
    <sheetView topLeftCell="A13" workbookViewId="0">
      <selection activeCell="E26" sqref="E26"/>
    </sheetView>
  </sheetViews>
  <sheetFormatPr defaultRowHeight="12.45" x14ac:dyDescent="0.3"/>
  <cols>
    <col min="1" max="1" width="6.15234375" customWidth="1"/>
    <col min="2" max="2" width="34.69140625" customWidth="1"/>
    <col min="3" max="3" width="12.61328125" customWidth="1"/>
    <col min="4" max="4" width="6.84375" customWidth="1"/>
    <col min="5" max="5" width="17.53515625" customWidth="1"/>
    <col min="6" max="6" width="21.61328125" customWidth="1"/>
    <col min="7" max="7" width="13.69140625" customWidth="1"/>
    <col min="9" max="9" width="15.84375" customWidth="1"/>
  </cols>
  <sheetData>
    <row r="1" spans="2:11" ht="15.45" x14ac:dyDescent="0.4">
      <c r="B1" s="485" t="s">
        <v>423</v>
      </c>
      <c r="C1" s="486"/>
      <c r="D1" s="486"/>
      <c r="E1" s="486"/>
      <c r="F1" s="486"/>
      <c r="G1" s="237"/>
    </row>
    <row r="2" spans="2:11" ht="15.45" x14ac:dyDescent="0.4">
      <c r="B2" s="485" t="s">
        <v>161</v>
      </c>
      <c r="C2" s="486"/>
      <c r="D2" s="486"/>
      <c r="E2" s="486"/>
      <c r="F2" s="486"/>
      <c r="G2" s="6"/>
    </row>
    <row r="3" spans="2:11" ht="15.55" customHeight="1" x14ac:dyDescent="0.4">
      <c r="B3" s="245"/>
      <c r="C3" s="6"/>
      <c r="D3" s="6"/>
      <c r="E3" s="6"/>
      <c r="F3" s="6"/>
      <c r="G3" s="323"/>
    </row>
    <row r="4" spans="2:11" ht="15.55" customHeight="1" x14ac:dyDescent="0.4">
      <c r="B4" s="245"/>
      <c r="C4" s="246"/>
      <c r="D4" s="246"/>
      <c r="E4" s="246"/>
      <c r="F4" s="246"/>
      <c r="G4" s="323"/>
      <c r="I4" s="175"/>
      <c r="J4" s="52"/>
    </row>
    <row r="5" spans="2:11" ht="15.45" x14ac:dyDescent="0.4">
      <c r="B5" s="490" t="s">
        <v>534</v>
      </c>
      <c r="C5" s="491"/>
      <c r="D5" s="491"/>
      <c r="E5" s="492"/>
      <c r="G5" s="6"/>
      <c r="I5" s="3"/>
      <c r="J5" s="57"/>
    </row>
    <row r="6" spans="2:11" ht="15.45" x14ac:dyDescent="0.4">
      <c r="B6" s="2"/>
      <c r="C6" s="2"/>
      <c r="D6" s="3" t="s">
        <v>166</v>
      </c>
      <c r="E6" s="52"/>
      <c r="F6" s="238" t="s">
        <v>199</v>
      </c>
      <c r="G6" s="3"/>
      <c r="K6" s="36"/>
    </row>
    <row r="7" spans="2:11" ht="15" x14ac:dyDescent="0.35">
      <c r="B7" s="181" t="s">
        <v>66</v>
      </c>
      <c r="C7" s="230">
        <v>43753</v>
      </c>
      <c r="F7" s="239"/>
      <c r="G7" s="2"/>
      <c r="H7" s="2"/>
      <c r="I7" s="261">
        <v>43591</v>
      </c>
      <c r="J7" s="52" t="s">
        <v>171</v>
      </c>
      <c r="K7" s="2"/>
    </row>
    <row r="8" spans="2:11" ht="15" x14ac:dyDescent="0.35">
      <c r="B8" s="2" t="s">
        <v>130</v>
      </c>
      <c r="C8" s="210">
        <v>43525</v>
      </c>
      <c r="D8" s="1"/>
      <c r="F8" s="239"/>
      <c r="H8" s="2"/>
      <c r="J8" s="2"/>
      <c r="K8" s="2"/>
    </row>
    <row r="9" spans="2:11" ht="15.45" x14ac:dyDescent="0.4">
      <c r="B9" s="2" t="s">
        <v>277</v>
      </c>
      <c r="C9" s="210">
        <v>43753</v>
      </c>
      <c r="D9" s="38">
        <f>((C9-C8)/(365/12))</f>
        <v>7.4958904109589035</v>
      </c>
      <c r="E9" s="2" t="s">
        <v>59</v>
      </c>
      <c r="F9" s="239"/>
      <c r="G9" s="2"/>
      <c r="H9" s="2"/>
      <c r="J9" s="2"/>
      <c r="K9" s="2"/>
    </row>
    <row r="10" spans="2:11" ht="15.45" x14ac:dyDescent="0.4">
      <c r="B10" s="4"/>
      <c r="C10" s="2"/>
      <c r="D10" s="205"/>
      <c r="E10" s="56"/>
      <c r="F10" s="239"/>
      <c r="G10" s="2"/>
      <c r="H10" s="2"/>
      <c r="J10" s="2"/>
      <c r="K10" s="2"/>
    </row>
    <row r="11" spans="2:11" ht="15.45" x14ac:dyDescent="0.4">
      <c r="B11" s="2" t="s">
        <v>160</v>
      </c>
      <c r="C11" s="32">
        <v>43876</v>
      </c>
      <c r="D11" s="38">
        <f>((C11-$C$8)/(365/12))</f>
        <v>11.53972602739726</v>
      </c>
      <c r="E11" s="181" t="s">
        <v>162</v>
      </c>
      <c r="F11" s="239"/>
      <c r="G11" s="2"/>
      <c r="H11" s="2"/>
      <c r="J11" s="2"/>
      <c r="K11" s="2"/>
    </row>
    <row r="12" spans="2:11" ht="15.45" x14ac:dyDescent="0.4">
      <c r="B12" s="3"/>
      <c r="D12" s="1"/>
      <c r="E12" s="17"/>
      <c r="F12" s="239"/>
      <c r="G12" s="2"/>
      <c r="H12" s="2"/>
      <c r="I12" s="2"/>
      <c r="J12" s="2"/>
      <c r="K12" s="2"/>
    </row>
    <row r="13" spans="2:11" ht="15.45" x14ac:dyDescent="0.4">
      <c r="B13" s="2" t="s">
        <v>67</v>
      </c>
      <c r="C13" s="220">
        <v>43952</v>
      </c>
      <c r="D13" s="38">
        <f>((C13-$C$8)/(365/12))</f>
        <v>14.038356164383561</v>
      </c>
      <c r="E13" s="2" t="s">
        <v>163</v>
      </c>
      <c r="F13" s="240"/>
      <c r="G13" s="2"/>
      <c r="H13" s="2"/>
      <c r="I13" s="2"/>
      <c r="J13" s="2"/>
      <c r="K13" s="2"/>
    </row>
    <row r="14" spans="2:11" ht="15.45" x14ac:dyDescent="0.4">
      <c r="B14" s="2" t="s">
        <v>71</v>
      </c>
      <c r="C14" s="267">
        <v>60</v>
      </c>
      <c r="D14" s="3"/>
      <c r="E14" s="2"/>
      <c r="F14" s="239"/>
      <c r="G14" s="7"/>
      <c r="H14" s="2"/>
      <c r="I14" s="2"/>
      <c r="J14" s="2"/>
      <c r="K14" s="2"/>
    </row>
    <row r="15" spans="2:11" ht="15.45" x14ac:dyDescent="0.4">
      <c r="B15" s="3" t="s">
        <v>201</v>
      </c>
      <c r="C15" s="293">
        <f>C13+C14</f>
        <v>44012</v>
      </c>
      <c r="D15" s="3"/>
      <c r="E15" s="2"/>
      <c r="F15" s="239"/>
      <c r="G15" s="7"/>
      <c r="H15" s="2"/>
      <c r="I15" s="2"/>
      <c r="J15" s="2"/>
      <c r="K15" s="2"/>
    </row>
    <row r="16" spans="2:11" ht="15.45" x14ac:dyDescent="0.4">
      <c r="B16" s="2"/>
      <c r="C16" s="8"/>
      <c r="D16" s="3"/>
      <c r="E16" s="2"/>
      <c r="F16" s="241"/>
      <c r="G16" s="7"/>
      <c r="H16" s="2"/>
      <c r="I16" s="2"/>
      <c r="J16" s="2"/>
      <c r="K16" s="2"/>
    </row>
    <row r="17" spans="2:11" ht="15.45" x14ac:dyDescent="0.4">
      <c r="B17" s="181" t="s">
        <v>2</v>
      </c>
      <c r="C17" s="185">
        <f>C21-C15</f>
        <v>50</v>
      </c>
      <c r="D17" s="3"/>
      <c r="E17" s="2"/>
      <c r="F17" s="239"/>
      <c r="G17" s="2"/>
      <c r="H17" s="2"/>
      <c r="I17" s="2"/>
      <c r="J17" s="2"/>
      <c r="K17" s="2"/>
    </row>
    <row r="18" spans="2:11" ht="15.45" x14ac:dyDescent="0.4">
      <c r="B18" s="2"/>
      <c r="C18" s="8"/>
      <c r="D18" s="3"/>
      <c r="E18" s="2"/>
      <c r="F18" s="241"/>
      <c r="G18" s="2"/>
      <c r="H18" s="2"/>
      <c r="I18" s="2"/>
      <c r="J18" s="2"/>
      <c r="K18" s="2"/>
    </row>
    <row r="19" spans="2:11" ht="15.45" x14ac:dyDescent="0.4">
      <c r="B19" s="2" t="s">
        <v>30</v>
      </c>
      <c r="C19" s="232">
        <v>44044</v>
      </c>
      <c r="D19" s="343">
        <f>((C19-$C$8)/(365/12))</f>
        <v>17.063013698630137</v>
      </c>
      <c r="E19" s="181" t="s">
        <v>200</v>
      </c>
      <c r="F19" s="239"/>
      <c r="G19" s="2"/>
      <c r="H19" s="2"/>
      <c r="I19" s="2"/>
      <c r="J19" s="2"/>
      <c r="K19" s="2"/>
    </row>
    <row r="20" spans="2:11" ht="15.45" x14ac:dyDescent="0.4">
      <c r="B20" s="2"/>
      <c r="C20" s="112"/>
      <c r="D20" s="3"/>
      <c r="E20" s="2"/>
      <c r="F20" s="2"/>
      <c r="G20" s="2"/>
      <c r="H20" s="2"/>
      <c r="I20" s="2"/>
      <c r="J20" s="2"/>
      <c r="K20" s="2"/>
    </row>
    <row r="21" spans="2:11" ht="15.45" x14ac:dyDescent="0.4">
      <c r="B21" s="3" t="s">
        <v>58</v>
      </c>
      <c r="C21" s="484">
        <v>44062</v>
      </c>
      <c r="D21" s="343">
        <f>((C21-C8)/(365/12))</f>
        <v>17.654794520547945</v>
      </c>
      <c r="E21" s="2" t="s">
        <v>164</v>
      </c>
      <c r="F21" s="239"/>
      <c r="J21" s="2"/>
    </row>
    <row r="22" spans="2:11" ht="15.45" x14ac:dyDescent="0.4">
      <c r="B22" s="2"/>
      <c r="C22" s="244" t="s">
        <v>28</v>
      </c>
      <c r="D22" s="38"/>
      <c r="E22" s="2"/>
      <c r="F22" s="241"/>
      <c r="J22" s="2"/>
    </row>
    <row r="23" spans="2:11" ht="15.45" x14ac:dyDescent="0.4">
      <c r="B23" s="3" t="s">
        <v>208</v>
      </c>
      <c r="C23" s="3">
        <f>C21-C7</f>
        <v>309</v>
      </c>
      <c r="D23" s="343">
        <f>C23/(365/12)</f>
        <v>10.158904109589042</v>
      </c>
      <c r="F23" s="239"/>
      <c r="G23" s="7"/>
      <c r="H23" s="204"/>
      <c r="I23" s="2"/>
      <c r="J23" s="2"/>
      <c r="K23" s="2"/>
    </row>
    <row r="24" spans="2:11" ht="15.45" x14ac:dyDescent="0.4">
      <c r="B24" s="3"/>
      <c r="C24" s="3"/>
      <c r="D24" s="1"/>
      <c r="G24" s="7"/>
      <c r="H24" s="204"/>
      <c r="I24" s="2"/>
      <c r="J24" s="2"/>
      <c r="K24" s="2"/>
    </row>
    <row r="25" spans="2:11" ht="15.45" x14ac:dyDescent="0.4">
      <c r="B25" s="3" t="s">
        <v>0</v>
      </c>
      <c r="C25" s="293">
        <f>C13+283</f>
        <v>44235</v>
      </c>
      <c r="D25" s="38">
        <f>((C25-C8)/(365/12))</f>
        <v>23.342465753424655</v>
      </c>
      <c r="E25" s="3" t="s">
        <v>165</v>
      </c>
      <c r="F25" s="239"/>
      <c r="G25" s="2"/>
      <c r="J25" s="40"/>
    </row>
    <row r="26" spans="2:11" x14ac:dyDescent="0.3">
      <c r="D26" s="1"/>
    </row>
    <row r="27" spans="2:11" ht="20.05" customHeight="1" x14ac:dyDescent="0.3">
      <c r="B27" s="489" t="s">
        <v>535</v>
      </c>
      <c r="C27" s="489"/>
      <c r="D27" s="489"/>
      <c r="E27" s="489"/>
      <c r="F27" s="489"/>
    </row>
    <row r="28" spans="2:11" ht="20.05" customHeight="1" x14ac:dyDescent="0.3">
      <c r="B28" s="489"/>
      <c r="C28" s="489"/>
      <c r="D28" s="489"/>
      <c r="E28" s="489"/>
      <c r="F28" s="489"/>
    </row>
    <row r="29" spans="2:11" ht="20.05" customHeight="1" x14ac:dyDescent="0.35">
      <c r="B29" s="487"/>
      <c r="C29" s="488"/>
      <c r="D29" s="488"/>
      <c r="E29" s="488"/>
      <c r="F29" s="488"/>
    </row>
    <row r="30" spans="2:11" ht="20.05" customHeight="1" x14ac:dyDescent="0.35">
      <c r="B30" s="487"/>
      <c r="C30" s="488"/>
      <c r="D30" s="488"/>
      <c r="E30" s="488"/>
      <c r="F30" s="488"/>
    </row>
    <row r="31" spans="2:11" ht="20.05" customHeight="1" x14ac:dyDescent="0.35">
      <c r="B31" s="487"/>
      <c r="C31" s="488"/>
      <c r="D31" s="488"/>
      <c r="E31" s="488"/>
      <c r="F31" s="488"/>
    </row>
    <row r="32" spans="2:11" ht="20.05" customHeight="1" x14ac:dyDescent="0.35">
      <c r="B32" s="487"/>
      <c r="C32" s="488"/>
      <c r="D32" s="488"/>
      <c r="E32" s="488"/>
      <c r="F32" s="488"/>
    </row>
    <row r="33" spans="2:6" ht="20.05" customHeight="1" x14ac:dyDescent="0.35">
      <c r="B33" s="487"/>
      <c r="C33" s="488"/>
      <c r="D33" s="488"/>
      <c r="E33" s="488"/>
      <c r="F33" s="488"/>
    </row>
    <row r="34" spans="2:6" ht="20.05" customHeight="1" x14ac:dyDescent="0.35">
      <c r="B34" s="487"/>
      <c r="C34" s="488"/>
      <c r="D34" s="488"/>
      <c r="E34" s="488"/>
      <c r="F34" s="488"/>
    </row>
    <row r="35" spans="2:6" ht="20.05" customHeight="1" x14ac:dyDescent="0.35">
      <c r="B35" s="487"/>
      <c r="C35" s="488"/>
      <c r="D35" s="488"/>
      <c r="E35" s="488"/>
      <c r="F35" s="488"/>
    </row>
    <row r="36" spans="2:6" ht="20.05" customHeight="1" x14ac:dyDescent="0.35">
      <c r="B36" s="487"/>
      <c r="C36" s="488"/>
      <c r="D36" s="488"/>
      <c r="E36" s="488"/>
      <c r="F36" s="488"/>
    </row>
    <row r="37" spans="2:6" ht="20.05" customHeight="1" x14ac:dyDescent="0.35">
      <c r="B37" s="487"/>
      <c r="C37" s="488"/>
      <c r="D37" s="488"/>
      <c r="E37" s="488"/>
      <c r="F37" s="488"/>
    </row>
    <row r="38" spans="2:6" ht="20.05" customHeight="1" x14ac:dyDescent="0.35">
      <c r="B38" s="487"/>
      <c r="C38" s="488"/>
      <c r="D38" s="488"/>
      <c r="E38" s="488"/>
      <c r="F38" s="488"/>
    </row>
    <row r="39" spans="2:6" ht="20.05" customHeight="1" x14ac:dyDescent="0.35">
      <c r="B39" s="487"/>
      <c r="C39" s="488"/>
      <c r="D39" s="488"/>
      <c r="E39" s="488"/>
      <c r="F39" s="488"/>
    </row>
  </sheetData>
  <sheetProtection sheet="1" objects="1" scenarios="1"/>
  <mergeCells count="16">
    <mergeCell ref="B39:F39"/>
    <mergeCell ref="B35:F35"/>
    <mergeCell ref="B36:F36"/>
    <mergeCell ref="B37:F37"/>
    <mergeCell ref="B38:F38"/>
    <mergeCell ref="B1:F1"/>
    <mergeCell ref="B34:F34"/>
    <mergeCell ref="B29:F29"/>
    <mergeCell ref="B30:F30"/>
    <mergeCell ref="B31:F31"/>
    <mergeCell ref="B32:F32"/>
    <mergeCell ref="B33:F33"/>
    <mergeCell ref="B2:F2"/>
    <mergeCell ref="B27:F27"/>
    <mergeCell ref="B28:F28"/>
    <mergeCell ref="B5:E5"/>
  </mergeCells>
  <pageMargins left="0.7" right="0.45" top="0.75" bottom="0.75" header="0.3" footer="0.3"/>
  <pageSetup orientation="portrait" r:id="rId1"/>
  <headerFoot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D34D0-753E-4D2B-A744-813EF196C78D}">
  <sheetPr>
    <pageSetUpPr fitToPage="1"/>
  </sheetPr>
  <dimension ref="B1:J48"/>
  <sheetViews>
    <sheetView workbookViewId="0">
      <selection activeCell="J27" sqref="J27"/>
    </sheetView>
  </sheetViews>
  <sheetFormatPr defaultRowHeight="12.45" x14ac:dyDescent="0.3"/>
  <cols>
    <col min="1" max="1" width="3.53515625" customWidth="1"/>
    <col min="2" max="2" width="19.3046875" customWidth="1"/>
    <col min="3" max="3" width="30.69140625" customWidth="1"/>
    <col min="4" max="4" width="13.3046875" customWidth="1"/>
    <col min="6" max="6" width="13.07421875" customWidth="1"/>
    <col min="8" max="8" width="14.4609375" customWidth="1"/>
  </cols>
  <sheetData>
    <row r="1" spans="2:10" ht="15.45" x14ac:dyDescent="0.4">
      <c r="B1" s="485" t="s">
        <v>518</v>
      </c>
      <c r="C1" s="485"/>
      <c r="D1" s="513"/>
      <c r="E1" s="513"/>
      <c r="F1" s="513"/>
      <c r="G1" s="513"/>
      <c r="H1" s="513"/>
      <c r="I1" s="497"/>
    </row>
    <row r="2" spans="2:10" ht="15.45" x14ac:dyDescent="0.4">
      <c r="B2" s="428"/>
      <c r="C2" s="428"/>
      <c r="D2" s="429"/>
      <c r="E2" s="429"/>
      <c r="F2" s="429"/>
      <c r="G2" s="429"/>
      <c r="H2" s="429"/>
      <c r="I2" s="430"/>
    </row>
    <row r="3" spans="2:10" ht="15.45" x14ac:dyDescent="0.4">
      <c r="B3" s="3" t="s">
        <v>476</v>
      </c>
      <c r="C3" s="466" t="str">
        <f>'5. Sexed Semen AI Summary'!B3</f>
        <v>Angus heifers bred to Hereford bulls</v>
      </c>
      <c r="D3" s="464"/>
      <c r="E3" s="465"/>
      <c r="F3" s="465"/>
      <c r="G3" s="465"/>
    </row>
    <row r="4" spans="2:10" ht="15.45" x14ac:dyDescent="0.4">
      <c r="B4" s="2"/>
      <c r="C4" s="464"/>
      <c r="D4" s="464"/>
      <c r="E4" s="465"/>
      <c r="F4" s="465"/>
      <c r="G4" s="465"/>
    </row>
    <row r="5" spans="2:10" ht="15.45" x14ac:dyDescent="0.4">
      <c r="B5" s="3" t="s">
        <v>22</v>
      </c>
      <c r="C5" s="2"/>
      <c r="D5" s="188">
        <f>'9. Breeding System Costs'!C6</f>
        <v>96</v>
      </c>
      <c r="E5" s="468"/>
      <c r="F5" s="453" t="s">
        <v>509</v>
      </c>
      <c r="G5" s="431"/>
      <c r="H5" s="361" t="str">
        <f>'4.SexedSemen AI BreedingCost'!H7</f>
        <v>Heifer</v>
      </c>
      <c r="J5" s="2" t="s">
        <v>477</v>
      </c>
    </row>
    <row r="6" spans="2:10" ht="15.45" x14ac:dyDescent="0.4">
      <c r="B6" s="3"/>
      <c r="C6" s="3"/>
      <c r="D6" s="69" t="s">
        <v>478</v>
      </c>
      <c r="E6" s="432"/>
      <c r="F6" s="429"/>
      <c r="G6" s="429"/>
      <c r="H6" s="429"/>
    </row>
    <row r="7" spans="2:10" ht="15.45" x14ac:dyDescent="0.4">
      <c r="B7" s="433"/>
      <c r="C7" s="433"/>
      <c r="D7" s="69" t="s">
        <v>479</v>
      </c>
      <c r="E7" s="69"/>
      <c r="F7" s="428" t="s">
        <v>480</v>
      </c>
      <c r="G7" s="428"/>
      <c r="H7" s="428" t="s">
        <v>79</v>
      </c>
    </row>
    <row r="8" spans="2:10" ht="15.45" x14ac:dyDescent="0.4">
      <c r="B8" s="3" t="s">
        <v>519</v>
      </c>
      <c r="C8" s="2"/>
      <c r="D8" s="185">
        <f>'4.SexedSemen AI BreedingCost'!D12</f>
        <v>55.2</v>
      </c>
      <c r="E8" s="185"/>
      <c r="F8" s="185">
        <f>'4.SexedSemen AI BreedingCost'!D63</f>
        <v>49.5</v>
      </c>
      <c r="G8" s="432"/>
      <c r="H8" s="428" t="s">
        <v>481</v>
      </c>
      <c r="J8" s="22"/>
    </row>
    <row r="9" spans="2:10" ht="15.45" x14ac:dyDescent="0.4">
      <c r="B9" s="3" t="s">
        <v>110</v>
      </c>
      <c r="C9" s="2"/>
      <c r="D9" s="471">
        <f>'9. Breeding System Costs'!D8</f>
        <v>0.9</v>
      </c>
      <c r="E9" s="188"/>
      <c r="F9" s="471">
        <f>'9. Breeding System Costs'!D9</f>
        <v>0.9</v>
      </c>
      <c r="G9" s="218"/>
      <c r="H9" s="448">
        <f>'9. Breeding System Costs'!D12</f>
        <v>0.88</v>
      </c>
      <c r="J9" s="22"/>
    </row>
    <row r="10" spans="2:10" ht="15.45" x14ac:dyDescent="0.4">
      <c r="B10" s="2" t="s">
        <v>512</v>
      </c>
      <c r="C10" s="2"/>
      <c r="D10" s="432"/>
      <c r="E10" s="432"/>
      <c r="F10" s="432"/>
      <c r="G10" s="432"/>
      <c r="H10" s="428"/>
      <c r="J10" s="22"/>
    </row>
    <row r="11" spans="2:10" ht="15" x14ac:dyDescent="0.35">
      <c r="B11" s="2" t="s">
        <v>490</v>
      </c>
      <c r="C11" s="2"/>
      <c r="D11" s="218">
        <f>'9. Breeding System Costs'!D32</f>
        <v>5.1840000000000011</v>
      </c>
      <c r="E11" s="218"/>
      <c r="F11" s="218">
        <f>'9. Breeding System Costs'!D36</f>
        <v>4.7520000000000007</v>
      </c>
      <c r="G11" s="432"/>
      <c r="J11" s="22"/>
    </row>
    <row r="12" spans="2:10" ht="15.45" x14ac:dyDescent="0.4">
      <c r="B12" s="2" t="s">
        <v>489</v>
      </c>
      <c r="C12" s="2"/>
      <c r="D12" s="218">
        <f>'9. Breeding System Costs'!E32</f>
        <v>46.656000000000006</v>
      </c>
      <c r="E12" s="218"/>
      <c r="F12" s="218">
        <f>'9. Breeding System Costs'!E36</f>
        <v>42.768000000000001</v>
      </c>
      <c r="G12" s="432"/>
      <c r="H12" s="428"/>
      <c r="J12" s="22"/>
    </row>
    <row r="13" spans="2:10" ht="15.45" x14ac:dyDescent="0.4">
      <c r="B13" s="3" t="s">
        <v>513</v>
      </c>
      <c r="C13" s="2"/>
      <c r="D13" s="449">
        <f>D11+D12</f>
        <v>51.84</v>
      </c>
      <c r="E13" s="432"/>
      <c r="F13" s="449">
        <f>F11+F12</f>
        <v>47.52</v>
      </c>
      <c r="G13" s="432"/>
      <c r="H13" s="428"/>
      <c r="J13" s="22"/>
    </row>
    <row r="14" spans="2:10" ht="15.45" x14ac:dyDescent="0.4">
      <c r="B14" s="2" t="s">
        <v>501</v>
      </c>
      <c r="C14" s="2"/>
      <c r="D14" s="432"/>
      <c r="E14" s="432"/>
      <c r="F14" s="432"/>
      <c r="G14" s="432"/>
      <c r="H14" s="428"/>
      <c r="J14" s="22"/>
    </row>
    <row r="15" spans="2:10" ht="15" x14ac:dyDescent="0.35">
      <c r="B15" s="2" t="s">
        <v>490</v>
      </c>
      <c r="C15" s="2"/>
      <c r="D15" s="218">
        <f>'9. Breeding System Costs'!D33</f>
        <v>17.28</v>
      </c>
      <c r="E15" s="218"/>
      <c r="F15" s="218">
        <f>'9. Breeding System Costs'!D37</f>
        <v>19.440000000000001</v>
      </c>
      <c r="G15" s="432"/>
      <c r="H15" s="472">
        <f>'7. Natural Service Cost'!D10</f>
        <v>42.24</v>
      </c>
      <c r="J15" s="22"/>
    </row>
    <row r="16" spans="2:10" ht="15.45" x14ac:dyDescent="0.4">
      <c r="B16" s="2" t="s">
        <v>489</v>
      </c>
      <c r="C16" s="2"/>
      <c r="D16" s="218">
        <f>'9. Breeding System Costs'!E33</f>
        <v>17.28</v>
      </c>
      <c r="E16" s="218"/>
      <c r="F16" s="218">
        <f>'9. Breeding System Costs'!E37</f>
        <v>19.440000000000001</v>
      </c>
      <c r="G16" s="432"/>
      <c r="H16" s="434">
        <f>H15</f>
        <v>42.24</v>
      </c>
      <c r="J16" s="22"/>
    </row>
    <row r="17" spans="2:10" ht="15.45" x14ac:dyDescent="0.4">
      <c r="B17" s="3" t="s">
        <v>517</v>
      </c>
      <c r="C17" s="2"/>
      <c r="D17" s="188">
        <f>D15+D16</f>
        <v>34.56</v>
      </c>
      <c r="E17" s="432"/>
      <c r="F17" s="188">
        <f>F15+F16</f>
        <v>38.880000000000003</v>
      </c>
      <c r="G17" s="432"/>
      <c r="H17" s="434">
        <f>H15+H16</f>
        <v>84.48</v>
      </c>
      <c r="J17" s="22"/>
    </row>
    <row r="18" spans="2:10" ht="15.45" x14ac:dyDescent="0.4">
      <c r="B18" s="225" t="s">
        <v>502</v>
      </c>
      <c r="C18" s="450"/>
      <c r="D18" s="451">
        <f>D13+D17</f>
        <v>86.4</v>
      </c>
      <c r="E18" s="452"/>
      <c r="F18" s="451">
        <f>F13+F17</f>
        <v>86.4</v>
      </c>
      <c r="G18" s="452"/>
      <c r="H18" s="451">
        <f>H13+H17</f>
        <v>84.48</v>
      </c>
      <c r="J18" s="22"/>
    </row>
    <row r="19" spans="2:10" ht="15.45" x14ac:dyDescent="0.4">
      <c r="B19" s="3" t="s">
        <v>496</v>
      </c>
      <c r="C19" s="3"/>
      <c r="D19" s="434"/>
      <c r="E19" s="434"/>
      <c r="F19" s="434"/>
      <c r="G19" s="434"/>
      <c r="H19" s="434"/>
      <c r="J19" s="435"/>
    </row>
    <row r="20" spans="2:10" ht="15.45" x14ac:dyDescent="0.4">
      <c r="B20" s="3"/>
      <c r="C20" s="3"/>
      <c r="D20" s="434" t="s">
        <v>516</v>
      </c>
      <c r="E20" s="434"/>
      <c r="F20" s="434" t="str">
        <f>H5</f>
        <v>Heifer</v>
      </c>
      <c r="G20" s="434"/>
      <c r="H20" s="434"/>
      <c r="J20" s="435"/>
    </row>
    <row r="21" spans="2:10" ht="15.45" x14ac:dyDescent="0.4">
      <c r="B21" s="441" t="s">
        <v>515</v>
      </c>
      <c r="C21" s="441"/>
      <c r="D21" s="438"/>
      <c r="E21" s="456" t="s">
        <v>6</v>
      </c>
      <c r="F21" s="456"/>
      <c r="G21" s="456" t="s">
        <v>6</v>
      </c>
      <c r="H21" s="457"/>
      <c r="I21" s="456" t="s">
        <v>6</v>
      </c>
    </row>
    <row r="22" spans="2:10" ht="15" x14ac:dyDescent="0.35">
      <c r="B22" s="159" t="s">
        <v>507</v>
      </c>
      <c r="C22" s="159"/>
      <c r="D22" s="438">
        <f>D11+D15</f>
        <v>22.464000000000002</v>
      </c>
      <c r="E22" s="436">
        <f>D22/D$24</f>
        <v>0.26</v>
      </c>
      <c r="F22" s="438">
        <f>F11+F15</f>
        <v>24.192</v>
      </c>
      <c r="G22" s="436">
        <f>F22/F$24</f>
        <v>0.27999999999999997</v>
      </c>
      <c r="H22" s="438">
        <v>42</v>
      </c>
      <c r="I22" s="436">
        <f>H22/H$24</f>
        <v>0.5</v>
      </c>
    </row>
    <row r="23" spans="2:10" ht="15" x14ac:dyDescent="0.35">
      <c r="B23" s="159" t="s">
        <v>482</v>
      </c>
      <c r="C23" s="159"/>
      <c r="D23" s="438">
        <f>D12+D16</f>
        <v>63.936000000000007</v>
      </c>
      <c r="E23" s="436">
        <f>D23/D$24</f>
        <v>0.74</v>
      </c>
      <c r="F23" s="438">
        <f>F12+F16</f>
        <v>62.207999999999998</v>
      </c>
      <c r="G23" s="436">
        <f>F23/F$24</f>
        <v>0.72</v>
      </c>
      <c r="H23" s="438">
        <v>42</v>
      </c>
      <c r="I23" s="436">
        <f>H23/H$24</f>
        <v>0.5</v>
      </c>
    </row>
    <row r="24" spans="2:10" ht="15" x14ac:dyDescent="0.35">
      <c r="B24" s="159" t="s">
        <v>497</v>
      </c>
      <c r="C24" s="458"/>
      <c r="D24" s="42">
        <f>D22+D23</f>
        <v>86.4</v>
      </c>
      <c r="E24" s="437"/>
      <c r="F24" s="42">
        <f>F22+F23</f>
        <v>86.4</v>
      </c>
      <c r="G24" s="438"/>
      <c r="H24" s="42">
        <f>H22+H23</f>
        <v>84</v>
      </c>
      <c r="I24" s="458"/>
    </row>
    <row r="25" spans="2:10" ht="15" x14ac:dyDescent="0.35">
      <c r="B25" s="159" t="s">
        <v>514</v>
      </c>
      <c r="C25" s="159"/>
      <c r="D25" s="439">
        <f>D22*$H$35</f>
        <v>18532.800000000003</v>
      </c>
      <c r="E25" s="439"/>
      <c r="F25" s="439">
        <f>F22*$H$35</f>
        <v>19958.400000000001</v>
      </c>
      <c r="G25" s="439"/>
      <c r="H25" s="439">
        <f>H22*$H$35</f>
        <v>34650</v>
      </c>
      <c r="I25" s="458"/>
    </row>
    <row r="26" spans="2:10" ht="15" x14ac:dyDescent="0.35">
      <c r="B26" s="159" t="s">
        <v>483</v>
      </c>
      <c r="C26" s="159"/>
      <c r="D26" s="123">
        <f>D23*$H$36</f>
        <v>59300.640000000007</v>
      </c>
      <c r="E26" s="440"/>
      <c r="F26" s="123">
        <f>F23*$H$36</f>
        <v>57697.919999999998</v>
      </c>
      <c r="G26" s="440"/>
      <c r="H26" s="123">
        <f>H23*$H$36</f>
        <v>38955</v>
      </c>
      <c r="I26" s="458"/>
    </row>
    <row r="27" spans="2:10" ht="15.45" x14ac:dyDescent="0.4">
      <c r="B27" s="461" t="s">
        <v>491</v>
      </c>
      <c r="C27" s="461"/>
      <c r="D27" s="462">
        <f>D25+D26</f>
        <v>77833.440000000002</v>
      </c>
      <c r="E27" s="462"/>
      <c r="F27" s="462">
        <f>F25+F26</f>
        <v>77656.320000000007</v>
      </c>
      <c r="G27" s="462"/>
      <c r="H27" s="462">
        <f>H25+H26</f>
        <v>73605</v>
      </c>
      <c r="I27" s="458"/>
      <c r="J27" s="22"/>
    </row>
    <row r="28" spans="2:10" ht="15.45" x14ac:dyDescent="0.4">
      <c r="B28" s="441" t="s">
        <v>508</v>
      </c>
      <c r="C28" s="159"/>
      <c r="D28" s="455">
        <v>3</v>
      </c>
      <c r="E28" s="459"/>
      <c r="F28" s="455">
        <v>3</v>
      </c>
      <c r="G28" s="459"/>
      <c r="H28" s="455">
        <v>4</v>
      </c>
      <c r="I28" s="458"/>
      <c r="J28" s="435"/>
    </row>
    <row r="29" spans="2:10" ht="15.45" x14ac:dyDescent="0.4">
      <c r="B29" s="461" t="s">
        <v>494</v>
      </c>
      <c r="C29" s="461"/>
      <c r="D29" s="480">
        <f>(D27*(100-D28)*0.01)</f>
        <v>75498.43680000001</v>
      </c>
      <c r="E29" s="463"/>
      <c r="F29" s="480">
        <f>(F27*(100-F28)*0.01)</f>
        <v>75326.630400000009</v>
      </c>
      <c r="G29" s="463"/>
      <c r="H29" s="480">
        <f>(H27*(100-H28)*0.01)</f>
        <v>70660.800000000003</v>
      </c>
      <c r="I29" s="458"/>
      <c r="J29" s="435"/>
    </row>
    <row r="30" spans="2:10" ht="15.45" x14ac:dyDescent="0.4">
      <c r="B30" s="441"/>
      <c r="C30" s="441"/>
      <c r="D30" s="442"/>
      <c r="E30" s="442"/>
      <c r="F30" s="442"/>
      <c r="G30" s="442"/>
      <c r="H30" s="442"/>
      <c r="I30" s="458"/>
      <c r="J30" s="22"/>
    </row>
    <row r="31" spans="2:10" ht="15.45" x14ac:dyDescent="0.4">
      <c r="B31" s="433" t="s">
        <v>484</v>
      </c>
      <c r="C31" s="433"/>
      <c r="D31" s="447"/>
      <c r="E31" s="458"/>
      <c r="F31" s="442">
        <f>D$27-F27</f>
        <v>177.11999999999534</v>
      </c>
      <c r="G31" s="460"/>
      <c r="H31" s="442">
        <f>F$27-H27</f>
        <v>4051.320000000007</v>
      </c>
      <c r="I31" s="458"/>
    </row>
    <row r="32" spans="2:10" ht="15.45" x14ac:dyDescent="0.4">
      <c r="B32" s="433" t="s">
        <v>493</v>
      </c>
    </row>
    <row r="33" spans="2:9" ht="15.45" x14ac:dyDescent="0.4">
      <c r="B33" s="433"/>
      <c r="D33" s="3" t="s">
        <v>523</v>
      </c>
      <c r="F33" s="3" t="s">
        <v>522</v>
      </c>
      <c r="G33" s="1"/>
      <c r="H33" s="3" t="s">
        <v>521</v>
      </c>
      <c r="I33" s="444" t="s">
        <v>486</v>
      </c>
    </row>
    <row r="34" spans="2:9" ht="15.45" x14ac:dyDescent="0.4">
      <c r="B34" s="433" t="s">
        <v>485</v>
      </c>
      <c r="C34" s="433"/>
      <c r="D34" s="443" t="s">
        <v>524</v>
      </c>
      <c r="E34" s="443"/>
      <c r="F34" s="443" t="s">
        <v>503</v>
      </c>
      <c r="H34" s="441" t="s">
        <v>520</v>
      </c>
      <c r="I34" s="441" t="s">
        <v>43</v>
      </c>
    </row>
    <row r="35" spans="2:9" ht="15.45" x14ac:dyDescent="0.4">
      <c r="B35" s="433" t="s">
        <v>495</v>
      </c>
      <c r="C35" s="477" t="s">
        <v>526</v>
      </c>
      <c r="D35" s="445">
        <v>550</v>
      </c>
      <c r="E35" s="112"/>
      <c r="F35" s="446">
        <v>150</v>
      </c>
      <c r="H35" s="447">
        <f>D35*F35*0.01</f>
        <v>825</v>
      </c>
    </row>
    <row r="36" spans="2:9" ht="15.45" x14ac:dyDescent="0.4">
      <c r="B36" s="433" t="s">
        <v>487</v>
      </c>
      <c r="C36" s="477" t="s">
        <v>527</v>
      </c>
      <c r="D36" s="445">
        <v>530</v>
      </c>
      <c r="E36" s="112"/>
      <c r="F36" s="446">
        <v>175</v>
      </c>
      <c r="H36" s="447">
        <f>D36*F36*0.01</f>
        <v>927.5</v>
      </c>
      <c r="I36" s="17">
        <f>H36-H35</f>
        <v>102.5</v>
      </c>
    </row>
    <row r="39" spans="2:9" ht="15.45" x14ac:dyDescent="0.4">
      <c r="B39" s="3" t="s">
        <v>488</v>
      </c>
    </row>
    <row r="40" spans="2:9" ht="15.45" x14ac:dyDescent="0.4">
      <c r="D40" s="69" t="s">
        <v>478</v>
      </c>
      <c r="E40" s="432"/>
      <c r="F40" s="429"/>
      <c r="H40" s="428" t="s">
        <v>79</v>
      </c>
    </row>
    <row r="41" spans="2:9" ht="15.45" x14ac:dyDescent="0.4">
      <c r="B41" s="3" t="s">
        <v>505</v>
      </c>
      <c r="D41" s="69" t="s">
        <v>479</v>
      </c>
      <c r="E41" s="69"/>
      <c r="F41" s="428" t="s">
        <v>480</v>
      </c>
      <c r="H41" s="428" t="s">
        <v>481</v>
      </c>
    </row>
    <row r="42" spans="2:9" ht="15" x14ac:dyDescent="0.35">
      <c r="B42" s="2" t="s">
        <v>313</v>
      </c>
      <c r="D42" s="25">
        <f>'9. Breeding System Costs'!I49</f>
        <v>13107</v>
      </c>
      <c r="E42" s="25"/>
      <c r="F42" s="25">
        <f>'9. Breeding System Costs'!I50</f>
        <v>10785</v>
      </c>
      <c r="G42" s="25"/>
      <c r="H42" s="25">
        <f>'9. Breeding System Costs'!I52</f>
        <v>9246</v>
      </c>
    </row>
    <row r="43" spans="2:9" ht="15" x14ac:dyDescent="0.35">
      <c r="B43" s="2"/>
    </row>
    <row r="44" spans="2:9" ht="15.45" x14ac:dyDescent="0.4">
      <c r="B44" s="225" t="s">
        <v>492</v>
      </c>
      <c r="C44" s="334"/>
      <c r="D44" s="295">
        <f>D29+D42</f>
        <v>88605.43680000001</v>
      </c>
      <c r="E44" s="225"/>
      <c r="F44" s="295">
        <f>F29+F42</f>
        <v>86111.630400000009</v>
      </c>
      <c r="G44" s="225"/>
      <c r="H44" s="295">
        <f>H29+H42</f>
        <v>79906.8</v>
      </c>
    </row>
    <row r="45" spans="2:9" ht="15.45" x14ac:dyDescent="0.4">
      <c r="B45" s="3"/>
      <c r="D45" s="26"/>
      <c r="E45" s="3"/>
      <c r="F45" s="26"/>
      <c r="G45" s="3"/>
      <c r="H45" s="26"/>
    </row>
    <row r="46" spans="2:9" ht="15.45" x14ac:dyDescent="0.4">
      <c r="B46" s="461" t="s">
        <v>484</v>
      </c>
      <c r="C46" s="334"/>
      <c r="D46" s="334"/>
      <c r="E46" s="334"/>
      <c r="F46" s="226">
        <f>D44-F44</f>
        <v>2493.8064000000013</v>
      </c>
      <c r="G46" s="226"/>
      <c r="H46" s="226">
        <f>D44-H44</f>
        <v>8698.6368000000075</v>
      </c>
    </row>
    <row r="47" spans="2:9" x14ac:dyDescent="0.3">
      <c r="B47" s="22" t="s">
        <v>506</v>
      </c>
    </row>
    <row r="48" spans="2:9" x14ac:dyDescent="0.3">
      <c r="B48" s="22" t="s">
        <v>504</v>
      </c>
    </row>
  </sheetData>
  <sheetProtection sheet="1" objects="1" scenarios="1"/>
  <mergeCells count="1">
    <mergeCell ref="B1:I1"/>
  </mergeCells>
  <pageMargins left="0.7" right="0.7" top="0.75" bottom="0.75" header="0.3" footer="0.3"/>
  <pageSetup scale="77" orientation="portrait" horizontalDpi="4294967295" verticalDpi="4294967295" r:id="rId1"/>
  <headerFoot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CA6C-BFDA-41BC-82F7-8208F4A4C05A}">
  <sheetPr>
    <pageSetUpPr fitToPage="1"/>
  </sheetPr>
  <dimension ref="B2:B12"/>
  <sheetViews>
    <sheetView workbookViewId="0">
      <selection activeCell="B34" sqref="B34"/>
    </sheetView>
  </sheetViews>
  <sheetFormatPr defaultRowHeight="12.45" x14ac:dyDescent="0.3"/>
  <cols>
    <col min="2" max="2" width="86.765625" customWidth="1"/>
  </cols>
  <sheetData>
    <row r="2" spans="2:2" ht="15.45" x14ac:dyDescent="0.4">
      <c r="B2" s="238" t="s">
        <v>280</v>
      </c>
    </row>
    <row r="4" spans="2:2" ht="50.05" customHeight="1" x14ac:dyDescent="0.35">
      <c r="B4" s="350" t="s">
        <v>337</v>
      </c>
    </row>
    <row r="6" spans="2:2" ht="90" customHeight="1" x14ac:dyDescent="0.35">
      <c r="B6" s="350" t="s">
        <v>334</v>
      </c>
    </row>
    <row r="8" spans="2:2" ht="70" customHeight="1" x14ac:dyDescent="0.3">
      <c r="B8" s="296" t="s">
        <v>335</v>
      </c>
    </row>
    <row r="9" spans="2:2" ht="15.55" customHeight="1" x14ac:dyDescent="0.3">
      <c r="B9" s="296"/>
    </row>
    <row r="10" spans="2:2" ht="125.05" customHeight="1" x14ac:dyDescent="0.3">
      <c r="B10" s="297" t="s">
        <v>336</v>
      </c>
    </row>
    <row r="11" spans="2:2" ht="15.55" customHeight="1" x14ac:dyDescent="0.3">
      <c r="B11" s="297"/>
    </row>
    <row r="12" spans="2:2" ht="90.45" x14ac:dyDescent="0.3">
      <c r="B12" s="351" t="s">
        <v>338</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0"/>
  <sheetViews>
    <sheetView tabSelected="1" topLeftCell="A39" zoomScale="96" zoomScaleNormal="96" workbookViewId="0">
      <selection activeCell="E51" sqref="E51"/>
    </sheetView>
  </sheetViews>
  <sheetFormatPr defaultRowHeight="12.45" x14ac:dyDescent="0.3"/>
  <cols>
    <col min="1" max="1" width="4.4609375" customWidth="1"/>
    <col min="2" max="2" width="46.84375" customWidth="1"/>
    <col min="3" max="3" width="16.4609375" customWidth="1"/>
    <col min="4" max="4" width="15.15234375" customWidth="1"/>
    <col min="5" max="5" width="14.07421875" customWidth="1"/>
    <col min="6" max="6" width="15" customWidth="1"/>
    <col min="7" max="7" width="14.765625" customWidth="1"/>
    <col min="8" max="8" width="13.53515625" customWidth="1"/>
    <col min="9" max="9" width="13.4609375" customWidth="1"/>
    <col min="10" max="10" width="13" customWidth="1"/>
    <col min="11" max="12" width="11.69140625" bestFit="1" customWidth="1"/>
    <col min="13" max="13" width="11.23046875" customWidth="1"/>
    <col min="14" max="14" width="14.84375" customWidth="1"/>
    <col min="15" max="15" width="9.921875" customWidth="1"/>
    <col min="16" max="16" width="11.921875" customWidth="1"/>
    <col min="17" max="17" width="10.3828125" customWidth="1"/>
    <col min="18" max="18" width="10.69140625" bestFit="1" customWidth="1"/>
    <col min="21" max="21" width="11.53515625" bestFit="1" customWidth="1"/>
    <col min="22" max="22" width="9" bestFit="1" customWidth="1"/>
    <col min="23" max="23" width="15.15234375" bestFit="1" customWidth="1"/>
  </cols>
  <sheetData>
    <row r="1" spans="2:12" ht="15.45" x14ac:dyDescent="0.4">
      <c r="B1" s="485" t="s">
        <v>424</v>
      </c>
      <c r="C1" s="486"/>
      <c r="D1" s="486"/>
      <c r="E1" s="486"/>
      <c r="F1" s="486"/>
      <c r="G1" s="486"/>
    </row>
    <row r="2" spans="2:12" ht="15.45" x14ac:dyDescent="0.4">
      <c r="B2" s="290"/>
      <c r="C2" s="291"/>
      <c r="D2" s="233"/>
      <c r="E2" s="233"/>
      <c r="F2" s="233"/>
      <c r="G2" s="233"/>
    </row>
    <row r="3" spans="2:12" ht="15.45" x14ac:dyDescent="0.4">
      <c r="B3" s="46" t="s">
        <v>73</v>
      </c>
      <c r="C3" s="498" t="s">
        <v>546</v>
      </c>
      <c r="D3" s="499"/>
      <c r="E3" s="499"/>
      <c r="F3" s="500"/>
      <c r="G3" s="292"/>
    </row>
    <row r="4" spans="2:12" ht="15.45" x14ac:dyDescent="0.4">
      <c r="B4" s="290"/>
      <c r="C4" s="291"/>
      <c r="D4" s="291"/>
      <c r="E4" s="291"/>
      <c r="F4" s="292"/>
      <c r="G4" s="292"/>
      <c r="I4" s="311">
        <f>F74</f>
        <v>6.1040084867036423E-2</v>
      </c>
      <c r="J4" s="3" t="s">
        <v>98</v>
      </c>
    </row>
    <row r="5" spans="2:12" ht="15.45" x14ac:dyDescent="0.4">
      <c r="B5" s="2" t="s">
        <v>528</v>
      </c>
      <c r="E5" s="242">
        <v>1</v>
      </c>
      <c r="F5" s="138" t="str">
        <f>IF(E5=1,"Sexed Semen AI","Natural Service")</f>
        <v>Sexed Semen AI</v>
      </c>
      <c r="G5" s="140"/>
      <c r="I5" t="s">
        <v>110</v>
      </c>
      <c r="K5" s="186">
        <f>C19*0.01</f>
        <v>5.5200000000000006E-3</v>
      </c>
      <c r="L5" t="s">
        <v>158</v>
      </c>
    </row>
    <row r="6" spans="2:12" ht="15.45" x14ac:dyDescent="0.4">
      <c r="B6" s="281" t="s">
        <v>383</v>
      </c>
      <c r="E6" s="242">
        <v>1</v>
      </c>
      <c r="F6" s="138" t="str">
        <f>IF(E5=2," ",IF(E6=1,"Heat Detection AI","Timed AI"))</f>
        <v>Heat Detection AI</v>
      </c>
      <c r="G6" s="140"/>
      <c r="K6" s="186"/>
    </row>
    <row r="7" spans="2:12" ht="15.45" x14ac:dyDescent="0.4">
      <c r="B7" s="2"/>
      <c r="C7" s="2"/>
      <c r="D7" s="3" t="s">
        <v>129</v>
      </c>
      <c r="E7" s="52" t="s">
        <v>130</v>
      </c>
      <c r="G7" s="3"/>
      <c r="I7" t="s">
        <v>110</v>
      </c>
      <c r="K7" s="36">
        <f>D19</f>
        <v>90</v>
      </c>
      <c r="L7" t="s">
        <v>78</v>
      </c>
    </row>
    <row r="8" spans="2:12" ht="15" x14ac:dyDescent="0.35">
      <c r="B8" s="2" t="s">
        <v>66</v>
      </c>
      <c r="C8" s="206">
        <f>'1. Dates&amp;Descripitions'!C7</f>
        <v>43753</v>
      </c>
      <c r="D8" s="24">
        <v>100</v>
      </c>
      <c r="E8" s="206">
        <f>'1. Dates&amp;Descripitions'!C8</f>
        <v>43525</v>
      </c>
      <c r="F8" s="2"/>
      <c r="G8" s="2"/>
      <c r="I8" s="170">
        <f>E8</f>
        <v>43525</v>
      </c>
      <c r="J8" s="52" t="s">
        <v>130</v>
      </c>
    </row>
    <row r="9" spans="2:12" ht="15.45" x14ac:dyDescent="0.4">
      <c r="B9" s="2" t="s">
        <v>266</v>
      </c>
      <c r="C9" s="34" t="s">
        <v>16</v>
      </c>
      <c r="D9" s="35" t="s">
        <v>17</v>
      </c>
      <c r="E9" s="35" t="s">
        <v>1</v>
      </c>
      <c r="F9" s="35" t="s">
        <v>192</v>
      </c>
      <c r="G9" s="3" t="s">
        <v>24</v>
      </c>
      <c r="H9" s="132" t="s">
        <v>1</v>
      </c>
      <c r="I9" s="36">
        <f>(('1. Dates&amp;Descripitions'!C9-E8)/(365/12))</f>
        <v>7.4958904109589035</v>
      </c>
      <c r="J9" t="s">
        <v>59</v>
      </c>
    </row>
    <row r="10" spans="2:12" ht="15.45" x14ac:dyDescent="0.4">
      <c r="B10" s="2" t="s">
        <v>267</v>
      </c>
      <c r="C10" s="224">
        <v>530</v>
      </c>
      <c r="D10" s="221">
        <v>130</v>
      </c>
      <c r="E10" s="5">
        <f>C10*D10*0.01</f>
        <v>689</v>
      </c>
      <c r="F10" s="222">
        <v>0</v>
      </c>
      <c r="G10" s="17">
        <f>IF(C10=0,0,(D8*E10+D8*F10))</f>
        <v>68900</v>
      </c>
      <c r="H10" s="17">
        <f>G10/D8</f>
        <v>689</v>
      </c>
      <c r="I10" s="36">
        <f>((C26-E8)/(365/12))</f>
        <v>14.038356164383561</v>
      </c>
      <c r="J10" t="s">
        <v>60</v>
      </c>
      <c r="K10" s="1">
        <f>IF(C10=0,C11,C10)</f>
        <v>530</v>
      </c>
      <c r="L10" s="181" t="s">
        <v>16</v>
      </c>
    </row>
    <row r="11" spans="2:12" ht="15.45" x14ac:dyDescent="0.4">
      <c r="B11" s="2" t="s">
        <v>268</v>
      </c>
      <c r="C11" s="224">
        <v>0</v>
      </c>
      <c r="D11" s="273"/>
      <c r="E11" s="221">
        <v>0</v>
      </c>
      <c r="F11" s="222">
        <v>0</v>
      </c>
      <c r="G11" s="17">
        <f>(E11+F11)*D8</f>
        <v>0</v>
      </c>
      <c r="I11" s="275" t="str">
        <f>IF(AND($C$10&lt;=0,$C$11&lt;=0),"Error - Enter one weight."," ")</f>
        <v xml:space="preserve"> </v>
      </c>
      <c r="K11" s="275" t="str">
        <f>IF(OR($C$10&gt;=0,$C$11&gt;=0)," ","Error - Enter one weight.")</f>
        <v xml:space="preserve"> </v>
      </c>
    </row>
    <row r="12" spans="2:12" ht="15.45" x14ac:dyDescent="0.4">
      <c r="B12" s="4"/>
      <c r="C12" s="2"/>
      <c r="D12" s="37" t="s">
        <v>18</v>
      </c>
      <c r="E12" s="56" t="s">
        <v>21</v>
      </c>
      <c r="F12" s="223" t="s">
        <v>193</v>
      </c>
      <c r="G12" s="67">
        <f>(G10+G11)/(C11*D8+C10*D8)*100</f>
        <v>130</v>
      </c>
      <c r="I12" s="48">
        <f>G12*C10*D8*0.01+G11</f>
        <v>68900</v>
      </c>
      <c r="J12" s="1" t="s">
        <v>52</v>
      </c>
      <c r="K12" s="1"/>
    </row>
    <row r="13" spans="2:12" ht="15.45" x14ac:dyDescent="0.4">
      <c r="B13" s="4" t="s">
        <v>19</v>
      </c>
      <c r="C13" s="207">
        <f>'1. Dates&amp;Descripitions'!C11</f>
        <v>43876</v>
      </c>
      <c r="D13" s="278">
        <v>3</v>
      </c>
      <c r="E13" s="343">
        <f>D8*D13*0.01</f>
        <v>3</v>
      </c>
      <c r="F13" s="2"/>
      <c r="G13" s="2"/>
      <c r="H13" s="18"/>
      <c r="I13" s="36">
        <f>((C29-E8)/(365/12))</f>
        <v>17.654794520547945</v>
      </c>
      <c r="J13" t="s">
        <v>62</v>
      </c>
    </row>
    <row r="14" spans="2:12" ht="15.45" x14ac:dyDescent="0.4">
      <c r="B14" s="2"/>
      <c r="C14" s="34" t="s">
        <v>16</v>
      </c>
      <c r="D14" s="35" t="s">
        <v>17</v>
      </c>
      <c r="E14" s="35" t="s">
        <v>1</v>
      </c>
      <c r="F14" s="46" t="s">
        <v>53</v>
      </c>
      <c r="G14" s="2"/>
      <c r="I14" s="36">
        <f>((C31-E8)/(365/12))</f>
        <v>23.342465753424655</v>
      </c>
      <c r="J14" t="s">
        <v>61</v>
      </c>
    </row>
    <row r="15" spans="2:12" ht="15.45" x14ac:dyDescent="0.4">
      <c r="B15" s="2" t="s">
        <v>20</v>
      </c>
      <c r="C15" s="24">
        <v>700</v>
      </c>
      <c r="D15" s="62">
        <v>130</v>
      </c>
      <c r="E15" s="17">
        <f>C15*D15*0.01</f>
        <v>910</v>
      </c>
      <c r="F15" s="17">
        <f>E15*E13</f>
        <v>2730</v>
      </c>
      <c r="G15" s="2"/>
      <c r="I15">
        <f>E13</f>
        <v>3</v>
      </c>
      <c r="J15" t="s">
        <v>132</v>
      </c>
    </row>
    <row r="16" spans="2:12" ht="15.45" x14ac:dyDescent="0.4">
      <c r="B16" s="2" t="s">
        <v>4</v>
      </c>
      <c r="C16" s="44">
        <v>1</v>
      </c>
      <c r="D16" t="s">
        <v>6</v>
      </c>
      <c r="E16" s="277">
        <f>C16*D8*0.01</f>
        <v>1</v>
      </c>
      <c r="F16" s="17" t="s">
        <v>21</v>
      </c>
      <c r="G16" s="2"/>
      <c r="I16" s="39">
        <f>(C15*E13+C22*E20+E19*C30)</f>
        <v>88500</v>
      </c>
      <c r="J16" t="s">
        <v>47</v>
      </c>
    </row>
    <row r="17" spans="2:14" ht="15.45" x14ac:dyDescent="0.4">
      <c r="B17" s="3" t="s">
        <v>22</v>
      </c>
      <c r="C17" s="16"/>
      <c r="E17" s="343">
        <f>D8-E13-E16</f>
        <v>96</v>
      </c>
      <c r="G17" s="181" t="s">
        <v>510</v>
      </c>
      <c r="I17" s="39">
        <f>(C10+C11)*D8</f>
        <v>53000</v>
      </c>
      <c r="J17" t="s">
        <v>48</v>
      </c>
    </row>
    <row r="18" spans="2:14" ht="15" x14ac:dyDescent="0.35">
      <c r="B18" s="113" t="s">
        <v>153</v>
      </c>
      <c r="C18" s="181" t="str">
        <f>F5</f>
        <v>Sexed Semen AI</v>
      </c>
      <c r="D18" s="2" t="s">
        <v>325</v>
      </c>
      <c r="F18" s="469"/>
      <c r="G18" s="181" t="s">
        <v>433</v>
      </c>
      <c r="I18" s="40">
        <f>I16-I17</f>
        <v>35500</v>
      </c>
      <c r="J18" t="s">
        <v>49</v>
      </c>
    </row>
    <row r="19" spans="2:14" ht="15.45" x14ac:dyDescent="0.4">
      <c r="B19" s="3" t="s">
        <v>29</v>
      </c>
      <c r="C19" s="61">
        <f>IF(E5=2," ",IF(E6=1,'4.SexedSemen AI BreedingCost'!D12,'4.SexedSemen AI BreedingCost'!D63)*0.01)</f>
        <v>0.55200000000000005</v>
      </c>
      <c r="D19" s="416">
        <v>90</v>
      </c>
      <c r="E19" s="38">
        <f>IF(E5=1,(E17*D19*0.01),(E17*D19*0.01))</f>
        <v>86.4</v>
      </c>
      <c r="F19" s="470"/>
      <c r="G19" s="416">
        <v>88</v>
      </c>
      <c r="I19" s="54">
        <f>I18/J30</f>
        <v>1.183996371301262</v>
      </c>
      <c r="J19" t="s">
        <v>50</v>
      </c>
    </row>
    <row r="20" spans="2:14" ht="15.45" x14ac:dyDescent="0.4">
      <c r="B20" s="2" t="s">
        <v>191</v>
      </c>
      <c r="C20" s="206">
        <f>'1. Dates&amp;Descripitions'!C19</f>
        <v>44044</v>
      </c>
      <c r="D20" s="2" t="s">
        <v>96</v>
      </c>
      <c r="E20" s="38">
        <f>E17-E19</f>
        <v>9.5999999999999943</v>
      </c>
      <c r="F20" s="2"/>
      <c r="G20" s="2"/>
    </row>
    <row r="21" spans="2:14" ht="15" x14ac:dyDescent="0.35">
      <c r="B21" s="2"/>
      <c r="C21" s="34" t="s">
        <v>16</v>
      </c>
      <c r="D21" s="35" t="s">
        <v>17</v>
      </c>
      <c r="E21" s="35" t="s">
        <v>1</v>
      </c>
      <c r="F21" s="2"/>
      <c r="G21" s="2"/>
      <c r="I21" s="274">
        <f>C36+C38</f>
        <v>51.84</v>
      </c>
      <c r="J21" s="1" t="s">
        <v>265</v>
      </c>
    </row>
    <row r="22" spans="2:14" ht="15" x14ac:dyDescent="0.35">
      <c r="B22" s="2" t="s">
        <v>30</v>
      </c>
      <c r="C22" s="178">
        <v>900</v>
      </c>
      <c r="D22" s="43">
        <v>120</v>
      </c>
      <c r="E22" s="41">
        <f>C22*D22*0.01</f>
        <v>1080</v>
      </c>
      <c r="F22" s="41">
        <f>E20*E22</f>
        <v>10367.999999999995</v>
      </c>
      <c r="I22" s="59">
        <f>($E17-$E19)</f>
        <v>9.5999999999999943</v>
      </c>
      <c r="J22" s="22" t="s">
        <v>23</v>
      </c>
    </row>
    <row r="23" spans="2:14" ht="15.45" x14ac:dyDescent="0.4">
      <c r="B23" s="2" t="s">
        <v>57</v>
      </c>
      <c r="C23" s="112"/>
      <c r="D23" s="63" t="str">
        <f>IF(C3=1,"AI Bred","Natural Bred")</f>
        <v>Natural Bred</v>
      </c>
      <c r="E23" s="45">
        <v>1250</v>
      </c>
      <c r="F23" s="41"/>
      <c r="G23" s="1" t="str">
        <f>IF(F23&gt;0,"&lt;------"," ")</f>
        <v xml:space="preserve"> </v>
      </c>
      <c r="I23" s="59"/>
      <c r="J23" s="22"/>
    </row>
    <row r="24" spans="2:14" ht="15.45" x14ac:dyDescent="0.4">
      <c r="B24" s="2" t="s">
        <v>57</v>
      </c>
      <c r="C24" s="14"/>
      <c r="D24" s="63" t="str">
        <f>IF(E5=1,"AI Bred"," ")</f>
        <v>AI Bred</v>
      </c>
      <c r="E24" s="45">
        <v>1450</v>
      </c>
      <c r="F24" s="41"/>
      <c r="G24" s="1" t="str">
        <f>IF(F24&gt;0,"&lt;-------"," ")</f>
        <v xml:space="preserve"> </v>
      </c>
      <c r="I24" s="60">
        <f>D88</f>
        <v>13.139457762556924</v>
      </c>
      <c r="J24" t="s">
        <v>56</v>
      </c>
    </row>
    <row r="25" spans="2:14" ht="15.45" x14ac:dyDescent="0.4">
      <c r="B25" s="3" t="s">
        <v>152</v>
      </c>
      <c r="E25" s="17">
        <f>E24-E23</f>
        <v>200</v>
      </c>
      <c r="F25" s="52"/>
    </row>
    <row r="26" spans="2:14" ht="15" x14ac:dyDescent="0.35">
      <c r="B26" s="2" t="s">
        <v>67</v>
      </c>
      <c r="C26" s="206">
        <f>'1. Dates&amp;Descripitions'!C13</f>
        <v>43952</v>
      </c>
      <c r="D26" s="36">
        <f>I10</f>
        <v>14.038356164383561</v>
      </c>
      <c r="E26" s="22" t="s">
        <v>65</v>
      </c>
      <c r="F26" s="2"/>
      <c r="G26" s="2"/>
      <c r="I26" t="s">
        <v>25</v>
      </c>
      <c r="J26" t="s">
        <v>28</v>
      </c>
    </row>
    <row r="27" spans="2:14" ht="15" x14ac:dyDescent="0.35">
      <c r="B27" s="2" t="s">
        <v>71</v>
      </c>
      <c r="C27" s="185">
        <f>'1. Dates&amp;Descripitions'!C14</f>
        <v>60</v>
      </c>
      <c r="E27" s="2"/>
      <c r="F27" s="2"/>
      <c r="G27" s="2"/>
      <c r="I27" s="36">
        <f>C13-C8</f>
        <v>123</v>
      </c>
      <c r="J27" s="39">
        <f>I27*D8</f>
        <v>12300</v>
      </c>
      <c r="K27" t="s">
        <v>26</v>
      </c>
    </row>
    <row r="28" spans="2:14" ht="15" x14ac:dyDescent="0.35">
      <c r="B28" s="2" t="s">
        <v>2</v>
      </c>
      <c r="C28" s="185">
        <f>'1. Dates&amp;Descripitions'!C17</f>
        <v>50</v>
      </c>
      <c r="E28" s="2"/>
      <c r="F28" s="2"/>
      <c r="G28" s="2"/>
      <c r="I28">
        <f>C20-C13</f>
        <v>168</v>
      </c>
      <c r="J28" s="39">
        <f>I28*E17</f>
        <v>16128</v>
      </c>
      <c r="K28" t="s">
        <v>131</v>
      </c>
    </row>
    <row r="29" spans="2:14" ht="15" x14ac:dyDescent="0.35">
      <c r="B29" s="2" t="s">
        <v>58</v>
      </c>
      <c r="C29" s="19">
        <f>C26+C27+C28</f>
        <v>44062</v>
      </c>
      <c r="D29" s="33">
        <f>I13</f>
        <v>17.654794520547945</v>
      </c>
      <c r="E29" s="22" t="s">
        <v>63</v>
      </c>
      <c r="F29" s="2"/>
      <c r="G29" s="2"/>
      <c r="I29" s="36">
        <f>C29-C20</f>
        <v>18</v>
      </c>
      <c r="J29" s="39">
        <f>I29*E19</f>
        <v>1555.2</v>
      </c>
      <c r="K29" t="s">
        <v>27</v>
      </c>
    </row>
    <row r="30" spans="2:14" ht="15" x14ac:dyDescent="0.35">
      <c r="B30" s="2" t="s">
        <v>70</v>
      </c>
      <c r="C30" s="178">
        <v>900</v>
      </c>
      <c r="D30" s="33">
        <f>I14</f>
        <v>23.342465753424655</v>
      </c>
      <c r="E30" s="22" t="s">
        <v>64</v>
      </c>
      <c r="F30" s="2"/>
      <c r="G30" s="2"/>
      <c r="I30" s="391">
        <f>I27+I28+I29</f>
        <v>309</v>
      </c>
      <c r="J30" s="393">
        <f>J27+J28+J29</f>
        <v>29983.200000000001</v>
      </c>
      <c r="K30" t="s">
        <v>317</v>
      </c>
    </row>
    <row r="31" spans="2:14" ht="15" x14ac:dyDescent="0.35">
      <c r="B31" s="2" t="s">
        <v>0</v>
      </c>
      <c r="C31" s="8">
        <f>C26+283</f>
        <v>44235</v>
      </c>
      <c r="D31" s="2"/>
      <c r="E31" s="2"/>
      <c r="F31" s="7"/>
      <c r="G31" s="2"/>
      <c r="I31" s="36"/>
      <c r="J31" s="390">
        <f>J30/(E19+E20+E13)</f>
        <v>302.86060606060607</v>
      </c>
      <c r="K31" s="22" t="s">
        <v>251</v>
      </c>
      <c r="N31" s="36"/>
    </row>
    <row r="32" spans="2:14" ht="15" x14ac:dyDescent="0.35">
      <c r="B32" s="2"/>
      <c r="C32" s="8"/>
      <c r="D32" s="2"/>
      <c r="E32" s="2"/>
      <c r="F32" s="7"/>
      <c r="G32" s="1" t="s">
        <v>263</v>
      </c>
    </row>
    <row r="33" spans="2:15" ht="15.45" x14ac:dyDescent="0.4">
      <c r="B33" s="3" t="s">
        <v>53</v>
      </c>
      <c r="C33" s="46" t="s">
        <v>21</v>
      </c>
      <c r="D33" s="46" t="s">
        <v>1</v>
      </c>
      <c r="E33" s="76" t="s">
        <v>42</v>
      </c>
      <c r="F33" s="46" t="s">
        <v>80</v>
      </c>
      <c r="G33" s="198" t="s">
        <v>185</v>
      </c>
      <c r="J33" s="22" t="s">
        <v>427</v>
      </c>
    </row>
    <row r="34" spans="2:15" ht="15" x14ac:dyDescent="0.35">
      <c r="B34" s="2" t="s">
        <v>115</v>
      </c>
      <c r="C34" s="133">
        <f>E13</f>
        <v>3</v>
      </c>
      <c r="D34" s="12">
        <f>IF(C34=0,0,F34/C34)</f>
        <v>910</v>
      </c>
      <c r="E34" s="12">
        <f>D15</f>
        <v>130</v>
      </c>
      <c r="F34" s="12">
        <f>F15</f>
        <v>2730</v>
      </c>
      <c r="G34" s="268">
        <f>F34/$F$41</f>
        <v>2.0765825384510064E-2</v>
      </c>
      <c r="J34" s="23" t="s">
        <v>428</v>
      </c>
      <c r="K34" s="23" t="s">
        <v>429</v>
      </c>
      <c r="L34" s="23"/>
      <c r="M34" s="23" t="s">
        <v>430</v>
      </c>
      <c r="N34" s="23" t="s">
        <v>431</v>
      </c>
      <c r="O34" s="281" t="s">
        <v>432</v>
      </c>
    </row>
    <row r="35" spans="2:15" ht="15" x14ac:dyDescent="0.35">
      <c r="B35" s="2" t="s">
        <v>434</v>
      </c>
      <c r="C35" s="133">
        <f>IF(E5=2,0,O35+O36)</f>
        <v>9.5999999999999943</v>
      </c>
      <c r="D35" s="12">
        <f>IF(C35=0,0,E22)</f>
        <v>1080</v>
      </c>
      <c r="E35" s="12">
        <f>D22</f>
        <v>120</v>
      </c>
      <c r="F35" s="12">
        <f>IF(C35=0,0,C35*D35)</f>
        <v>10367.999999999995</v>
      </c>
      <c r="G35" s="268">
        <f>F35/$F$41</f>
        <v>7.886449728446894E-2</v>
      </c>
      <c r="J35" s="7">
        <f>IF(E5=2,0,'4.SexedSemen AI BreedingCost'!D20)</f>
        <v>51.84</v>
      </c>
      <c r="K35" s="7">
        <f>IF(F5=2,0,'4.SexedSemen AI BreedingCost'!F20)</f>
        <v>34.56</v>
      </c>
      <c r="M35" s="204">
        <f>J35+K35</f>
        <v>86.4</v>
      </c>
      <c r="N35" s="7">
        <f>'4.SexedSemen AI BreedingCost'!I22</f>
        <v>9.5999999999999943</v>
      </c>
      <c r="O35" s="7">
        <f>IF($E$6=1,N35,0)</f>
        <v>9.5999999999999943</v>
      </c>
    </row>
    <row r="36" spans="2:15" ht="15" x14ac:dyDescent="0.35">
      <c r="B36" s="2" t="s">
        <v>425</v>
      </c>
      <c r="C36" s="7">
        <f>IF(E6=1,J35,J36)</f>
        <v>51.84</v>
      </c>
      <c r="D36" s="12">
        <f>E24</f>
        <v>1450</v>
      </c>
      <c r="F36" s="12">
        <f>C36*D36</f>
        <v>75168</v>
      </c>
      <c r="G36" s="268">
        <f>F36/$F$41</f>
        <v>0.57176760531240012</v>
      </c>
      <c r="J36" s="7">
        <f>IF(E5=2,0,'4.SexedSemen AI BreedingCost'!D71)</f>
        <v>47.52</v>
      </c>
      <c r="K36" s="7">
        <f>IF(F5=2,0,+'4.SexedSemen AI BreedingCost'!F71)</f>
        <v>38.880000000000003</v>
      </c>
      <c r="M36" s="204">
        <f t="shared" ref="M36" si="0">J36+K36</f>
        <v>86.4</v>
      </c>
      <c r="N36" s="7">
        <f>'4.SexedSemen AI BreedingCost'!I73</f>
        <v>9.5999999999999943</v>
      </c>
      <c r="O36" s="7">
        <f>IF($E$6=2,N36,0)</f>
        <v>0</v>
      </c>
    </row>
    <row r="37" spans="2:15" ht="15" x14ac:dyDescent="0.35">
      <c r="B37" s="2" t="s">
        <v>525</v>
      </c>
      <c r="C37" s="7">
        <f>IF(E5=2,0,IF(E6=1,K35,K36))</f>
        <v>34.56</v>
      </c>
      <c r="D37" s="12">
        <f>E23</f>
        <v>1250</v>
      </c>
      <c r="F37" s="12">
        <f>C37*D37</f>
        <v>43200</v>
      </c>
      <c r="G37" s="268">
        <f>F37/$F$41</f>
        <v>0.32860207201862079</v>
      </c>
      <c r="J37" s="417" t="s">
        <v>433</v>
      </c>
      <c r="K37" s="7"/>
      <c r="L37" s="1"/>
      <c r="N37" s="23" t="s">
        <v>431</v>
      </c>
      <c r="O37" s="176"/>
    </row>
    <row r="38" spans="2:15" ht="15.45" x14ac:dyDescent="0.4">
      <c r="B38" s="2" t="s">
        <v>426</v>
      </c>
      <c r="C38" s="7">
        <f>IF(E5=1,0,J38)</f>
        <v>0</v>
      </c>
      <c r="D38" s="12">
        <f>E23</f>
        <v>1250</v>
      </c>
      <c r="F38" s="12">
        <f>C38*D38</f>
        <v>0</v>
      </c>
      <c r="G38" s="268">
        <f>F38/$F$41</f>
        <v>0</v>
      </c>
      <c r="I38" s="285"/>
      <c r="J38" s="7">
        <f>'7. Natural Service Cost'!D12</f>
        <v>84.48</v>
      </c>
      <c r="L38" s="1" t="s">
        <v>78</v>
      </c>
      <c r="N38" s="38">
        <f>'7. Natural Service Cost'!J12</f>
        <v>11.519999999999996</v>
      </c>
      <c r="O38" s="176"/>
    </row>
    <row r="39" spans="2:15" ht="15" x14ac:dyDescent="0.35">
      <c r="B39" s="2" t="s">
        <v>116</v>
      </c>
      <c r="C39" s="7">
        <f>IF(E5=2,N38,0)</f>
        <v>0</v>
      </c>
      <c r="D39" s="12">
        <f>E22</f>
        <v>1080</v>
      </c>
      <c r="E39" s="12">
        <f>IF(C39=0,0,E35)</f>
        <v>0</v>
      </c>
      <c r="F39" s="12">
        <f>IF(C39=0,0,C39*D39)</f>
        <v>0</v>
      </c>
      <c r="G39" s="268"/>
      <c r="I39" s="285"/>
      <c r="N39" s="176"/>
      <c r="O39" s="176"/>
    </row>
    <row r="40" spans="2:15" ht="15" x14ac:dyDescent="0.35">
      <c r="B40" s="2" t="s">
        <v>120</v>
      </c>
      <c r="C40" s="7">
        <f>E19</f>
        <v>86.4</v>
      </c>
      <c r="D40" s="43">
        <v>0</v>
      </c>
      <c r="F40" s="12">
        <f>C40*D40*-1</f>
        <v>0</v>
      </c>
      <c r="G40" s="268">
        <f>F40/$F$41</f>
        <v>0</v>
      </c>
      <c r="I40" s="285"/>
      <c r="K40" s="22"/>
      <c r="L40" s="22"/>
      <c r="M40" s="22"/>
      <c r="N40" s="22"/>
    </row>
    <row r="41" spans="2:15" ht="15.45" x14ac:dyDescent="0.4">
      <c r="B41" s="138" t="s">
        <v>121</v>
      </c>
      <c r="C41" s="169">
        <f>SUM(C34:C38)</f>
        <v>99</v>
      </c>
      <c r="D41" s="150">
        <f>IF(C41=0,0,F41/C41)</f>
        <v>1327.939393939394</v>
      </c>
      <c r="E41" s="138"/>
      <c r="F41" s="150">
        <f>SUM(F34:F40)</f>
        <v>131466</v>
      </c>
      <c r="G41" s="67"/>
      <c r="J41" s="22"/>
      <c r="K41" s="287"/>
      <c r="L41" s="179"/>
      <c r="M41" s="180"/>
      <c r="N41" s="180"/>
    </row>
    <row r="42" spans="2:15" ht="15" x14ac:dyDescent="0.35">
      <c r="C42" s="8"/>
      <c r="D42" s="7"/>
      <c r="E42" s="2"/>
      <c r="G42" s="2"/>
      <c r="H42" s="1"/>
      <c r="I42" s="284"/>
      <c r="J42" s="192"/>
      <c r="K42" s="286"/>
      <c r="M42" s="51"/>
    </row>
    <row r="43" spans="2:15" ht="15.45" x14ac:dyDescent="0.4">
      <c r="B43" s="3" t="s">
        <v>111</v>
      </c>
      <c r="C43" s="8"/>
      <c r="D43" s="132" t="s">
        <v>117</v>
      </c>
      <c r="F43" s="3" t="s">
        <v>24</v>
      </c>
      <c r="G43" s="2"/>
      <c r="H43" s="198"/>
      <c r="I43" s="284"/>
      <c r="J43" s="193"/>
      <c r="K43" s="286"/>
      <c r="M43" s="51"/>
    </row>
    <row r="44" spans="2:15" ht="15.45" x14ac:dyDescent="0.4">
      <c r="B44" s="140" t="s">
        <v>74</v>
      </c>
      <c r="C44" s="141"/>
      <c r="D44" s="139">
        <f>F44/D8</f>
        <v>689</v>
      </c>
      <c r="E44" s="142"/>
      <c r="F44" s="150">
        <f>G10+G11</f>
        <v>68900</v>
      </c>
      <c r="G44" s="2"/>
      <c r="H44" s="271"/>
      <c r="I44" s="284"/>
      <c r="J44" s="193"/>
      <c r="K44" s="286"/>
      <c r="L44" s="176"/>
      <c r="M44" s="51"/>
    </row>
    <row r="45" spans="2:15" ht="15.45" x14ac:dyDescent="0.4">
      <c r="B45" s="3" t="s">
        <v>118</v>
      </c>
      <c r="C45" s="65" t="s">
        <v>28</v>
      </c>
      <c r="D45" s="159"/>
      <c r="E45" s="158">
        <f>C46/(365/12)</f>
        <v>10.158904109589042</v>
      </c>
      <c r="F45" s="282" t="s">
        <v>269</v>
      </c>
      <c r="G45" s="2"/>
      <c r="H45" s="6"/>
      <c r="I45" s="1"/>
      <c r="J45" s="196"/>
      <c r="M45" s="49"/>
    </row>
    <row r="46" spans="2:15" ht="15.45" x14ac:dyDescent="0.4">
      <c r="B46" s="2" t="s">
        <v>297</v>
      </c>
      <c r="C46" s="7">
        <f>I30</f>
        <v>309</v>
      </c>
      <c r="D46" s="137" t="s">
        <v>124</v>
      </c>
      <c r="E46" s="353" t="s">
        <v>5</v>
      </c>
      <c r="F46" s="353" t="s">
        <v>100</v>
      </c>
      <c r="G46" s="353" t="s">
        <v>174</v>
      </c>
      <c r="H46" s="6"/>
      <c r="L46" s="52"/>
      <c r="N46" s="182"/>
    </row>
    <row r="47" spans="2:15" ht="15" x14ac:dyDescent="0.35">
      <c r="B47" s="338" t="s">
        <v>315</v>
      </c>
      <c r="C47" s="337">
        <v>45</v>
      </c>
      <c r="D47" s="336">
        <v>1.25</v>
      </c>
      <c r="E47" s="10">
        <f>(365/12)*D47</f>
        <v>38.020833333333336</v>
      </c>
      <c r="F47" s="312">
        <f>C47*D47*$D$8</f>
        <v>5625</v>
      </c>
      <c r="G47" s="2"/>
      <c r="I47" s="175"/>
      <c r="J47" s="1"/>
      <c r="K47" s="52"/>
      <c r="N47" s="49"/>
    </row>
    <row r="48" spans="2:15" ht="15" x14ac:dyDescent="0.35">
      <c r="B48" s="338" t="s">
        <v>316</v>
      </c>
      <c r="C48" s="337">
        <v>263</v>
      </c>
      <c r="D48" s="336">
        <v>0.8</v>
      </c>
      <c r="E48" s="10">
        <f>(365/12)*D48</f>
        <v>24.333333333333336</v>
      </c>
      <c r="F48" s="312">
        <f t="shared" ref="F48:F50" si="1">C48*D48*$D$8</f>
        <v>21040</v>
      </c>
      <c r="G48" s="2"/>
      <c r="I48" s="175"/>
      <c r="J48" s="1"/>
      <c r="K48" s="52"/>
      <c r="N48" s="49"/>
    </row>
    <row r="49" spans="2:18" ht="15.45" x14ac:dyDescent="0.4">
      <c r="B49" s="231" t="s">
        <v>92</v>
      </c>
      <c r="C49" s="288">
        <v>0</v>
      </c>
      <c r="D49" s="9">
        <v>0</v>
      </c>
      <c r="E49" s="10">
        <f t="shared" ref="E49:E50" si="2">(365/12)*D49</f>
        <v>0</v>
      </c>
      <c r="F49" s="312">
        <f t="shared" si="1"/>
        <v>0</v>
      </c>
      <c r="G49" s="23" t="s">
        <v>340</v>
      </c>
      <c r="H49" s="3" t="s">
        <v>339</v>
      </c>
      <c r="I49" s="175"/>
      <c r="J49" s="1"/>
      <c r="K49" s="52"/>
      <c r="N49" s="49"/>
    </row>
    <row r="50" spans="2:18" ht="15.45" x14ac:dyDescent="0.4">
      <c r="B50" s="231" t="s">
        <v>92</v>
      </c>
      <c r="C50" s="289">
        <v>0</v>
      </c>
      <c r="D50" s="9">
        <v>0</v>
      </c>
      <c r="E50" s="10">
        <f t="shared" si="2"/>
        <v>0</v>
      </c>
      <c r="F50" s="312">
        <f t="shared" si="1"/>
        <v>0</v>
      </c>
      <c r="G50" s="38">
        <f>E17</f>
        <v>96</v>
      </c>
      <c r="H50" s="38">
        <f>C81</f>
        <v>86.4</v>
      </c>
    </row>
    <row r="51" spans="2:18" ht="15.45" x14ac:dyDescent="0.4">
      <c r="B51" s="3" t="s">
        <v>274</v>
      </c>
      <c r="C51" s="294">
        <f>SUM(C47:C50)</f>
        <v>308</v>
      </c>
      <c r="D51" s="269" t="s">
        <v>117</v>
      </c>
      <c r="E51" s="10"/>
      <c r="F51" s="181"/>
      <c r="G51" s="1" t="s">
        <v>262</v>
      </c>
      <c r="H51" s="1" t="s">
        <v>175</v>
      </c>
    </row>
    <row r="52" spans="2:18" ht="15.45" x14ac:dyDescent="0.4">
      <c r="B52" s="3" t="s">
        <v>69</v>
      </c>
      <c r="C52" s="53" t="s">
        <v>21</v>
      </c>
      <c r="D52" s="67">
        <f>F52/D8</f>
        <v>266.64999999999998</v>
      </c>
      <c r="E52" s="117"/>
      <c r="F52" s="319">
        <f>SUM(F47:F50)</f>
        <v>26665</v>
      </c>
      <c r="G52" s="10">
        <f t="shared" ref="G52:G64" si="3">F52/$C$81</f>
        <v>308.62268518518516</v>
      </c>
      <c r="H52" s="268">
        <f t="shared" ref="H52:H64" si="4">F52/$F$70</f>
        <v>0.20459484677433767</v>
      </c>
      <c r="I52" s="6" t="s">
        <v>10</v>
      </c>
      <c r="J52" s="6" t="s">
        <v>9</v>
      </c>
    </row>
    <row r="53" spans="2:18" ht="15.45" x14ac:dyDescent="0.4">
      <c r="B53" s="2" t="s">
        <v>135</v>
      </c>
      <c r="C53" s="200">
        <f>+D8</f>
        <v>100</v>
      </c>
      <c r="D53" s="184">
        <v>15</v>
      </c>
      <c r="E53" s="2"/>
      <c r="F53" s="25">
        <f>D53*$D$8</f>
        <v>1500</v>
      </c>
      <c r="G53" s="10">
        <f t="shared" si="3"/>
        <v>17.361111111111111</v>
      </c>
      <c r="H53" s="268">
        <f t="shared" si="4"/>
        <v>1.1509179454772417E-2</v>
      </c>
      <c r="I53" s="6" t="s">
        <v>11</v>
      </c>
      <c r="J53" s="6" t="s">
        <v>12</v>
      </c>
    </row>
    <row r="54" spans="2:18" ht="15.45" x14ac:dyDescent="0.4">
      <c r="B54" s="15" t="s">
        <v>544</v>
      </c>
      <c r="C54" s="202">
        <v>100</v>
      </c>
      <c r="D54" s="184">
        <v>10</v>
      </c>
      <c r="E54" s="2"/>
      <c r="F54" s="25">
        <f>D54*C54</f>
        <v>1000</v>
      </c>
      <c r="G54" s="10">
        <f t="shared" si="3"/>
        <v>11.574074074074073</v>
      </c>
      <c r="H54" s="268">
        <f t="shared" si="4"/>
        <v>7.6727863031816118E-3</v>
      </c>
      <c r="I54" s="114">
        <f>C30-C10</f>
        <v>370</v>
      </c>
      <c r="J54" s="5">
        <f>D52/I54</f>
        <v>0.72067567567567559</v>
      </c>
      <c r="K54" t="s">
        <v>32</v>
      </c>
    </row>
    <row r="55" spans="2:18" ht="15.45" x14ac:dyDescent="0.4">
      <c r="B55" s="15" t="s">
        <v>329</v>
      </c>
      <c r="C55" s="202">
        <v>0</v>
      </c>
      <c r="D55" s="184">
        <v>0</v>
      </c>
      <c r="E55" s="201" t="s">
        <v>159</v>
      </c>
      <c r="F55" s="25">
        <f>D55*C55</f>
        <v>0</v>
      </c>
      <c r="G55" s="10">
        <f t="shared" si="3"/>
        <v>0</v>
      </c>
      <c r="H55" s="268">
        <f t="shared" si="4"/>
        <v>0</v>
      </c>
      <c r="I55" s="2"/>
      <c r="J55" s="5">
        <f>(D70-E58-E56)/I54</f>
        <v>3.1534493472787859</v>
      </c>
      <c r="K55" t="s">
        <v>102</v>
      </c>
    </row>
    <row r="56" spans="2:18" ht="15.45" x14ac:dyDescent="0.4">
      <c r="B56" s="497" t="s">
        <v>367</v>
      </c>
      <c r="C56" s="492"/>
      <c r="D56" s="167">
        <f>IF(F56=0,0,F56/$D$8)</f>
        <v>131.07</v>
      </c>
      <c r="E56" s="326">
        <f>IF(E5=2,0,IF(E6=1,'4.SexedSemen AI BreedingCost'!F49,0))</f>
        <v>136.53125</v>
      </c>
      <c r="F56" s="25">
        <f>E56*$E$17</f>
        <v>13107</v>
      </c>
      <c r="G56" s="228">
        <f t="shared" si="3"/>
        <v>151.70138888888889</v>
      </c>
      <c r="H56" s="270">
        <f t="shared" si="4"/>
        <v>0.10056721007580138</v>
      </c>
      <c r="I56" t="s">
        <v>14</v>
      </c>
      <c r="M56" s="12">
        <f>F58+F56</f>
        <v>13107</v>
      </c>
      <c r="N56" t="s">
        <v>15</v>
      </c>
    </row>
    <row r="57" spans="2:18" ht="15.45" x14ac:dyDescent="0.4">
      <c r="B57" s="497" t="s">
        <v>368</v>
      </c>
      <c r="C57" s="492"/>
      <c r="D57" s="375">
        <f>IF(F57=0,0,F57/$D$8)</f>
        <v>0</v>
      </c>
      <c r="E57" s="326">
        <f>IF(E5=2,0,IF(E6=2,'4.SexedSemen AI BreedingCost'!F99,0))</f>
        <v>0</v>
      </c>
      <c r="F57" s="25">
        <f>E57*$E$17</f>
        <v>0</v>
      </c>
      <c r="G57" s="10">
        <f t="shared" si="3"/>
        <v>0</v>
      </c>
      <c r="H57" s="268">
        <f t="shared" si="4"/>
        <v>0</v>
      </c>
      <c r="I57" s="28">
        <f>((F58+F56)/F70)</f>
        <v>0.10056721007580138</v>
      </c>
      <c r="J57" s="29"/>
      <c r="M57" s="18"/>
    </row>
    <row r="58" spans="2:18" ht="15.45" x14ac:dyDescent="0.4">
      <c r="B58" s="2" t="s">
        <v>244</v>
      </c>
      <c r="C58" s="2"/>
      <c r="D58" s="375">
        <f>IF(F58=0,0,F58/$D$8)</f>
        <v>0</v>
      </c>
      <c r="E58" s="387">
        <f>IF(E5=2,'7. Natural Service Cost'!F28,0)</f>
        <v>0</v>
      </c>
      <c r="F58" s="25">
        <f>E58*$E$17</f>
        <v>0</v>
      </c>
      <c r="G58" s="10">
        <f t="shared" si="3"/>
        <v>0</v>
      </c>
      <c r="H58" s="268">
        <f t="shared" si="4"/>
        <v>0</v>
      </c>
      <c r="I58" s="58">
        <f>F41</f>
        <v>131466</v>
      </c>
      <c r="J58" t="s">
        <v>52</v>
      </c>
    </row>
    <row r="59" spans="2:18" ht="15" x14ac:dyDescent="0.35">
      <c r="B59" s="15" t="s">
        <v>384</v>
      </c>
      <c r="D59" s="375">
        <f>IF(F59=0,0,F59/$D$8)</f>
        <v>0</v>
      </c>
      <c r="E59" s="184">
        <v>0</v>
      </c>
      <c r="F59" s="25">
        <f>E59*$E$17</f>
        <v>0</v>
      </c>
      <c r="G59" s="10">
        <f t="shared" si="3"/>
        <v>0</v>
      </c>
      <c r="H59" s="268">
        <f t="shared" si="4"/>
        <v>0</v>
      </c>
      <c r="I59" s="50">
        <f>F70</f>
        <v>130330.75084931508</v>
      </c>
      <c r="J59" s="22" t="s">
        <v>55</v>
      </c>
    </row>
    <row r="60" spans="2:18" ht="15.45" x14ac:dyDescent="0.4">
      <c r="B60" s="143" t="s">
        <v>114</v>
      </c>
      <c r="C60" s="149"/>
      <c r="D60" s="144">
        <f>F60/$D$8</f>
        <v>1111.72</v>
      </c>
      <c r="E60" s="166"/>
      <c r="F60" s="144">
        <f>SUM(F52:F59)+F44</f>
        <v>111172</v>
      </c>
      <c r="G60" s="228">
        <f t="shared" si="3"/>
        <v>1286.7129629629628</v>
      </c>
      <c r="H60" s="270">
        <f t="shared" si="4"/>
        <v>0.85299899889730613</v>
      </c>
      <c r="I60" s="165">
        <f>($F$44)</f>
        <v>68900</v>
      </c>
      <c r="J60" s="22" t="s">
        <v>211</v>
      </c>
      <c r="K60" s="22"/>
      <c r="L60" s="22" t="s">
        <v>234</v>
      </c>
      <c r="M60" s="22"/>
      <c r="N60" s="31">
        <f>I60*I63</f>
        <v>2916.4520547945208</v>
      </c>
      <c r="R60" s="18"/>
    </row>
    <row r="61" spans="2:18" ht="15.45" x14ac:dyDescent="0.4">
      <c r="B61" s="3" t="s">
        <v>178</v>
      </c>
      <c r="C61" s="46"/>
      <c r="D61" s="46" t="s">
        <v>25</v>
      </c>
      <c r="G61" s="10">
        <f t="shared" si="3"/>
        <v>0</v>
      </c>
      <c r="H61" s="268">
        <f t="shared" si="4"/>
        <v>0</v>
      </c>
      <c r="I61" s="330">
        <f>((($F$44+(SUM($F$52:$F$59)+$F$64)*0.5))*L61)+M71</f>
        <v>86867.507008717323</v>
      </c>
      <c r="J61" s="181" t="s">
        <v>127</v>
      </c>
      <c r="K61" s="181"/>
      <c r="L61" s="259">
        <f>J31/365</f>
        <v>0.82975508509755092</v>
      </c>
      <c r="M61" s="22"/>
      <c r="N61" s="31"/>
      <c r="O61" s="22" t="s">
        <v>238</v>
      </c>
      <c r="R61" s="18"/>
    </row>
    <row r="62" spans="2:18" ht="15" x14ac:dyDescent="0.35">
      <c r="B62" s="2" t="s">
        <v>275</v>
      </c>
      <c r="C62" s="184">
        <v>0.5</v>
      </c>
      <c r="D62" s="215">
        <f>J30</f>
        <v>29983.200000000001</v>
      </c>
      <c r="F62" s="25">
        <f>D62*C62</f>
        <v>14991.6</v>
      </c>
      <c r="G62" s="10">
        <f t="shared" si="3"/>
        <v>173.51388888888889</v>
      </c>
      <c r="H62" s="268">
        <f t="shared" si="4"/>
        <v>0.11502734314277746</v>
      </c>
      <c r="I62" s="165">
        <f>(((SUM($F$52:$F$59)+$F$64)*0.5))</f>
        <v>28631.8</v>
      </c>
      <c r="J62" s="22" t="s">
        <v>209</v>
      </c>
      <c r="K62" s="22"/>
      <c r="L62" s="22"/>
      <c r="M62" s="22"/>
      <c r="N62" s="31">
        <f>I62*I63</f>
        <v>1211.9487945205481</v>
      </c>
      <c r="R62" s="18"/>
    </row>
    <row r="63" spans="2:18" ht="15" x14ac:dyDescent="0.35">
      <c r="B63" s="15" t="s">
        <v>203</v>
      </c>
      <c r="C63" s="216"/>
      <c r="D63" s="184">
        <v>0</v>
      </c>
      <c r="F63" s="25">
        <f>D63*$D$8</f>
        <v>0</v>
      </c>
      <c r="G63" s="10">
        <f t="shared" si="3"/>
        <v>0</v>
      </c>
      <c r="H63" s="268">
        <f t="shared" si="4"/>
        <v>0</v>
      </c>
      <c r="I63" s="164">
        <f>(C67*0.01)*(I30/365)</f>
        <v>4.2328767123287675E-2</v>
      </c>
      <c r="J63" s="52" t="s">
        <v>128</v>
      </c>
      <c r="N63" s="248"/>
    </row>
    <row r="64" spans="2:18" ht="15.45" x14ac:dyDescent="0.4">
      <c r="B64" s="3" t="s">
        <v>179</v>
      </c>
      <c r="C64" s="138"/>
      <c r="D64" s="144">
        <f>F64/$D$8</f>
        <v>149.916</v>
      </c>
      <c r="E64" s="144"/>
      <c r="F64" s="144">
        <f>SUM(F62:F63)</f>
        <v>14991.6</v>
      </c>
      <c r="G64" s="67">
        <f t="shared" si="3"/>
        <v>173.51388888888889</v>
      </c>
      <c r="H64" s="271">
        <f t="shared" si="4"/>
        <v>0.11502734314277746</v>
      </c>
      <c r="I64" s="27">
        <f>I61*I63</f>
        <v>3676.9944747525556</v>
      </c>
      <c r="J64" s="168" t="s">
        <v>156</v>
      </c>
      <c r="K64" s="1"/>
      <c r="N64" s="31">
        <f>N60+N62</f>
        <v>4128.4008493150686</v>
      </c>
    </row>
    <row r="65" spans="1:16" ht="15.45" x14ac:dyDescent="0.4">
      <c r="B65" s="131" t="s">
        <v>112</v>
      </c>
      <c r="C65" s="2"/>
      <c r="D65" s="13"/>
      <c r="E65" s="201"/>
      <c r="F65" s="25"/>
      <c r="G65" s="2"/>
      <c r="H65" s="56"/>
      <c r="I65" s="28"/>
      <c r="J65" s="23"/>
      <c r="K65" s="1"/>
    </row>
    <row r="66" spans="1:16" ht="15.45" x14ac:dyDescent="0.4">
      <c r="B66" s="20" t="s">
        <v>369</v>
      </c>
      <c r="C66" s="2"/>
      <c r="D66" s="195">
        <f>F66/$D$8</f>
        <v>0.38750000000000001</v>
      </c>
      <c r="E66" s="67"/>
      <c r="F66" s="25">
        <f>IF(N72=0,0,I73)</f>
        <v>38.75</v>
      </c>
      <c r="G66" s="10">
        <f>F66/$C$81</f>
        <v>0.44849537037037035</v>
      </c>
      <c r="H66" s="56"/>
      <c r="I66" s="260"/>
      <c r="J66" s="23"/>
      <c r="N66" s="51"/>
    </row>
    <row r="67" spans="1:16" ht="15.45" x14ac:dyDescent="0.4">
      <c r="B67" s="20" t="s">
        <v>177</v>
      </c>
      <c r="C67" s="347">
        <v>5</v>
      </c>
      <c r="D67" s="167">
        <f>(((($D$44+(((SUM($D$52:$D$59)*0.5)+$D$64*0.5))))*($C$67*0.01))*($I$30/365))</f>
        <v>41.284008493150687</v>
      </c>
      <c r="E67" s="18"/>
      <c r="F67" s="25">
        <f>D67*$D$8</f>
        <v>4128.4008493150686</v>
      </c>
      <c r="G67" s="10">
        <f>F67/$C$81</f>
        <v>47.782417237442921</v>
      </c>
      <c r="H67" s="56"/>
      <c r="I67" s="30">
        <f>F41-I59</f>
        <v>1135.2491506849183</v>
      </c>
      <c r="J67" s="23" t="s">
        <v>13</v>
      </c>
      <c r="K67" s="1"/>
      <c r="N67" s="31"/>
    </row>
    <row r="68" spans="1:16" ht="15.45" x14ac:dyDescent="0.4">
      <c r="B68" s="143" t="s">
        <v>113</v>
      </c>
      <c r="C68" s="147"/>
      <c r="D68" s="195">
        <f>F68/$D$8</f>
        <v>41.671508493150689</v>
      </c>
      <c r="E68" s="157"/>
      <c r="F68" s="272">
        <f>F66+F67</f>
        <v>4167.1508493150686</v>
      </c>
      <c r="G68" s="228">
        <f t="shared" ref="G68" si="5">F68/$C$81</f>
        <v>48.230912607813288</v>
      </c>
      <c r="H68" s="270">
        <f>F68/$F$70</f>
        <v>3.1973657959916281E-2</v>
      </c>
      <c r="I68" s="313">
        <f>'6. Bull Cost'!H33</f>
        <v>0.40364583333333331</v>
      </c>
      <c r="J68" s="1" t="s">
        <v>385</v>
      </c>
      <c r="K68" s="1"/>
    </row>
    <row r="69" spans="1:16" ht="15" x14ac:dyDescent="0.35">
      <c r="B69" s="20"/>
      <c r="C69" s="249" t="s">
        <v>214</v>
      </c>
      <c r="D69" s="21"/>
      <c r="F69" s="25"/>
      <c r="G69" s="2"/>
      <c r="H69" s="56"/>
      <c r="I69" s="51"/>
      <c r="L69" t="s">
        <v>236</v>
      </c>
      <c r="N69" s="137" t="s">
        <v>158</v>
      </c>
      <c r="O69" s="23" t="s">
        <v>78</v>
      </c>
    </row>
    <row r="70" spans="1:16" ht="15.45" x14ac:dyDescent="0.4">
      <c r="B70" s="138" t="s">
        <v>180</v>
      </c>
      <c r="C70" s="276">
        <f>D8</f>
        <v>100</v>
      </c>
      <c r="D70" s="144">
        <f>F70/$D$8</f>
        <v>1303.3075084931509</v>
      </c>
      <c r="E70" s="148"/>
      <c r="F70" s="149">
        <f>F60+F64+F68</f>
        <v>130330.75084931508</v>
      </c>
      <c r="G70" s="149">
        <f>G60+G64+G68</f>
        <v>1508.457764459665</v>
      </c>
      <c r="H70" s="268">
        <f>F70/$F$70</f>
        <v>1</v>
      </c>
      <c r="I70" s="256">
        <f>N73</f>
        <v>38.75</v>
      </c>
      <c r="J70" s="181" t="s">
        <v>308</v>
      </c>
      <c r="K70" s="2"/>
      <c r="L70" s="22" t="s">
        <v>169</v>
      </c>
      <c r="M70" s="18">
        <f>'6. Bull Cost'!K27</f>
        <v>59.4</v>
      </c>
      <c r="N70" s="325" t="e">
        <f>'4.SexedSemen AI BreedingCost'!#REF!</f>
        <v>#REF!</v>
      </c>
      <c r="O70" s="324">
        <f>'7. Natural Service Cost'!C4</f>
        <v>96</v>
      </c>
    </row>
    <row r="71" spans="1:16" ht="15.45" x14ac:dyDescent="0.4">
      <c r="B71" s="3"/>
      <c r="C71" s="2"/>
      <c r="D71" s="41"/>
      <c r="E71" s="5"/>
      <c r="F71" s="25"/>
      <c r="G71" s="2"/>
      <c r="H71" s="56"/>
      <c r="I71" s="256">
        <f>O73</f>
        <v>77.5</v>
      </c>
      <c r="J71" s="52" t="s">
        <v>150</v>
      </c>
      <c r="L71" s="1" t="s">
        <v>235</v>
      </c>
      <c r="M71" s="331">
        <f>IF(E5=1,N71,O71)</f>
        <v>5940</v>
      </c>
      <c r="N71" s="257">
        <f>'6. Bull Cost'!G38</f>
        <v>5940</v>
      </c>
      <c r="O71" s="392">
        <f>'7. Natural Service Cost'!D44</f>
        <v>11880</v>
      </c>
    </row>
    <row r="72" spans="1:16" ht="15.45" x14ac:dyDescent="0.4">
      <c r="B72" s="138" t="s">
        <v>204</v>
      </c>
      <c r="C72" s="474">
        <f>C70</f>
        <v>100</v>
      </c>
      <c r="D72" s="195">
        <f>F72/$D$8</f>
        <v>11.352491506849184</v>
      </c>
      <c r="E72" s="148"/>
      <c r="F72" s="150">
        <f>F41-F70</f>
        <v>1135.2491506849183</v>
      </c>
      <c r="G72" s="5">
        <f>F72/$C$81</f>
        <v>13.139457762556924</v>
      </c>
      <c r="H72" s="475">
        <f>F41-F70</f>
        <v>1135.2491506849183</v>
      </c>
      <c r="I72" s="60" t="s">
        <v>237</v>
      </c>
      <c r="J72" s="1"/>
      <c r="M72" s="18"/>
      <c r="N72" s="314">
        <f>'4.SexedSemen AI BreedingCost'!E46</f>
        <v>2</v>
      </c>
      <c r="O72" s="315">
        <f>'7. Natural Service Cost'!E6</f>
        <v>4</v>
      </c>
      <c r="P72" s="22" t="s">
        <v>311</v>
      </c>
    </row>
    <row r="73" spans="1:16" ht="15.45" x14ac:dyDescent="0.4">
      <c r="B73" s="3"/>
      <c r="C73" s="2"/>
      <c r="D73" s="41"/>
      <c r="E73" s="5"/>
      <c r="F73" s="25"/>
      <c r="G73" s="2"/>
      <c r="H73" s="56"/>
      <c r="I73" s="329">
        <f>IF(E5=1,I70,I71)</f>
        <v>38.75</v>
      </c>
      <c r="J73" s="1" t="s">
        <v>326</v>
      </c>
      <c r="L73" s="55" t="s">
        <v>310</v>
      </c>
      <c r="N73" s="55">
        <f>'5. Sexed Semen AI Summary'!D65</f>
        <v>38.75</v>
      </c>
      <c r="O73" s="322">
        <f>'7. Natural Service Cost'!D39</f>
        <v>77.5</v>
      </c>
      <c r="P73" s="22" t="s">
        <v>240</v>
      </c>
    </row>
    <row r="74" spans="1:16" ht="15.45" x14ac:dyDescent="0.4">
      <c r="B74" s="138" t="s">
        <v>143</v>
      </c>
      <c r="C74" s="145"/>
      <c r="D74" s="145"/>
      <c r="E74" s="145"/>
      <c r="F74" s="151">
        <f>I76</f>
        <v>6.1040084867036423E-2</v>
      </c>
      <c r="G74" s="2"/>
      <c r="H74" s="56"/>
      <c r="L74" s="22" t="s">
        <v>312</v>
      </c>
      <c r="M74" s="18"/>
      <c r="N74" s="30">
        <f>'5. Sexed Semen AI Summary'!D64</f>
        <v>3260</v>
      </c>
      <c r="O74" s="328">
        <f>'7. Natural Service Cost'!D37</f>
        <v>6520</v>
      </c>
    </row>
    <row r="75" spans="1:16" ht="15" x14ac:dyDescent="0.35">
      <c r="A75" s="70"/>
      <c r="B75" s="183" t="s">
        <v>144</v>
      </c>
      <c r="C75" s="84"/>
      <c r="D75" s="84"/>
      <c r="E75" s="84"/>
      <c r="F75" s="134"/>
      <c r="G75" s="2"/>
      <c r="H75" s="56"/>
      <c r="I75" s="1" t="s">
        <v>133</v>
      </c>
      <c r="N75" s="55" t="e">
        <f>N74/N70</f>
        <v>#REF!</v>
      </c>
      <c r="O75" s="55">
        <f>IF(O70=0,0,O74/O70)</f>
        <v>67.916666666666671</v>
      </c>
    </row>
    <row r="76" spans="1:16" ht="15" x14ac:dyDescent="0.35">
      <c r="A76" s="70"/>
      <c r="B76" s="83"/>
      <c r="C76" s="84"/>
      <c r="D76" s="84"/>
      <c r="E76" s="84"/>
      <c r="F76" s="134"/>
      <c r="G76" s="2"/>
      <c r="H76" s="6"/>
      <c r="I76" s="194">
        <f>(F72+F68)/I61</f>
        <v>6.1040084867036423E-2</v>
      </c>
      <c r="J76" s="1" t="s">
        <v>8</v>
      </c>
      <c r="M76" s="117" t="s">
        <v>309</v>
      </c>
      <c r="N76" s="12" t="str">
        <f>F5</f>
        <v>Sexed Semen AI</v>
      </c>
      <c r="O76" s="28"/>
    </row>
    <row r="77" spans="1:16" ht="15.45" x14ac:dyDescent="0.4">
      <c r="A77" s="70"/>
      <c r="B77" s="75" t="s">
        <v>119</v>
      </c>
      <c r="C77" s="38" t="s">
        <v>72</v>
      </c>
      <c r="D77" s="3" t="s">
        <v>54</v>
      </c>
      <c r="F77" s="135"/>
      <c r="G77" s="2"/>
      <c r="H77" s="6"/>
      <c r="I77" s="2"/>
      <c r="J77" s="2"/>
      <c r="M77" s="18"/>
      <c r="N77" s="30"/>
      <c r="O77" s="28"/>
    </row>
    <row r="78" spans="1:16" ht="15.45" x14ac:dyDescent="0.4">
      <c r="B78" s="11" t="s">
        <v>68</v>
      </c>
      <c r="C78" s="38">
        <f>C70</f>
        <v>100</v>
      </c>
      <c r="D78" s="17">
        <f>F78/$C$78</f>
        <v>1303.3075084931509</v>
      </c>
      <c r="E78" s="22"/>
      <c r="F78" s="26">
        <f>F70</f>
        <v>130330.75084931508</v>
      </c>
      <c r="G78" s="2"/>
      <c r="H78" s="6"/>
    </row>
    <row r="79" spans="1:16" ht="15.45" x14ac:dyDescent="0.4">
      <c r="B79" s="2"/>
      <c r="C79" s="38"/>
      <c r="D79" s="3" t="s">
        <v>54</v>
      </c>
      <c r="H79" s="6"/>
      <c r="N79" s="30"/>
    </row>
    <row r="80" spans="1:16" ht="15.45" x14ac:dyDescent="0.4">
      <c r="B80" s="11" t="s">
        <v>3</v>
      </c>
      <c r="C80" s="133">
        <f>C34+C35</f>
        <v>12.599999999999994</v>
      </c>
      <c r="D80" s="12">
        <f>F80/$C$81</f>
        <v>-151.59722222222214</v>
      </c>
      <c r="F80" s="12">
        <f>(F34+F35)*-1</f>
        <v>-13097.999999999995</v>
      </c>
      <c r="G80" s="18"/>
      <c r="H80" s="6"/>
      <c r="N80" s="27"/>
    </row>
    <row r="81" spans="2:14" ht="15.45" x14ac:dyDescent="0.4">
      <c r="B81" s="152" t="s">
        <v>7</v>
      </c>
      <c r="C81" s="153">
        <f>C84</f>
        <v>86.4</v>
      </c>
      <c r="D81" s="148">
        <f>F81/C81</f>
        <v>1356.860542237443</v>
      </c>
      <c r="E81" s="154"/>
      <c r="F81" s="155">
        <f>F78+F80</f>
        <v>117232.75084931508</v>
      </c>
      <c r="G81" s="27"/>
      <c r="H81" s="212"/>
      <c r="I81" s="51"/>
      <c r="N81" s="30"/>
    </row>
    <row r="82" spans="2:14" ht="15" x14ac:dyDescent="0.35">
      <c r="B82" s="2"/>
      <c r="C82" s="42"/>
      <c r="D82" s="136"/>
      <c r="E82" s="52"/>
      <c r="F82" s="12"/>
      <c r="H82" s="6"/>
    </row>
    <row r="83" spans="2:14" x14ac:dyDescent="0.3">
      <c r="D83" s="27"/>
      <c r="H83" s="6"/>
      <c r="J83" t="s">
        <v>272</v>
      </c>
    </row>
    <row r="84" spans="2:14" ht="15.45" x14ac:dyDescent="0.4">
      <c r="B84" s="138" t="s">
        <v>181</v>
      </c>
      <c r="C84" s="250">
        <f>IF($E$5=1,(C36+C37),C38)</f>
        <v>86.4</v>
      </c>
      <c r="D84" s="148">
        <f>F84/$C$84</f>
        <v>1370</v>
      </c>
      <c r="E84" s="156"/>
      <c r="F84" s="473">
        <f>IF($E$5=1,(F36+F37+F40),(F38+F40))</f>
        <v>118368</v>
      </c>
      <c r="G84" s="51"/>
      <c r="H84" s="212"/>
      <c r="I84" s="27">
        <f>E127</f>
        <v>1455.911173037452</v>
      </c>
      <c r="J84" s="30">
        <f>I84-D84</f>
        <v>85.911173037452045</v>
      </c>
    </row>
    <row r="85" spans="2:14" x14ac:dyDescent="0.3">
      <c r="H85" s="6"/>
      <c r="I85" s="52"/>
    </row>
    <row r="86" spans="2:14" ht="15.45" x14ac:dyDescent="0.4">
      <c r="B86" s="138" t="s">
        <v>176</v>
      </c>
      <c r="C86" s="153">
        <f>C84</f>
        <v>86.4</v>
      </c>
      <c r="D86" s="150">
        <f>F86/C86</f>
        <v>1370</v>
      </c>
      <c r="E86" s="138"/>
      <c r="F86" s="150">
        <f>F36+F37+F40</f>
        <v>118368</v>
      </c>
      <c r="H86" s="213"/>
      <c r="I86" s="2" t="s">
        <v>215</v>
      </c>
    </row>
    <row r="87" spans="2:14" ht="15" x14ac:dyDescent="0.35">
      <c r="B87" s="2"/>
      <c r="D87" s="2"/>
      <c r="E87" s="2"/>
      <c r="F87" s="2"/>
      <c r="H87" s="6"/>
    </row>
    <row r="88" spans="2:14" ht="17.600000000000001" x14ac:dyDescent="0.4">
      <c r="B88" s="138" t="s">
        <v>147</v>
      </c>
      <c r="C88" s="153">
        <f>C86</f>
        <v>86.4</v>
      </c>
      <c r="D88" s="341">
        <f>F88/$C$81</f>
        <v>13.139457762556924</v>
      </c>
      <c r="E88" s="138"/>
      <c r="F88" s="150">
        <f>F41-F70</f>
        <v>1135.2491506849183</v>
      </c>
      <c r="H88" s="214"/>
    </row>
    <row r="89" spans="2:14" ht="15.45" x14ac:dyDescent="0.4">
      <c r="D89" s="3"/>
      <c r="H89" s="6"/>
    </row>
    <row r="90" spans="2:14" ht="15.45" x14ac:dyDescent="0.4">
      <c r="B90" s="66"/>
      <c r="C90" s="76" t="s">
        <v>103</v>
      </c>
      <c r="D90" s="76" t="s">
        <v>105</v>
      </c>
      <c r="E90" s="77"/>
      <c r="F90" s="65"/>
      <c r="G90" s="137"/>
      <c r="H90" s="6"/>
    </row>
    <row r="91" spans="2:14" ht="15.45" x14ac:dyDescent="0.4">
      <c r="B91" s="3" t="s">
        <v>123</v>
      </c>
      <c r="C91" s="76" t="s">
        <v>104</v>
      </c>
      <c r="D91" s="76" t="s">
        <v>106</v>
      </c>
      <c r="E91" s="76" t="s">
        <v>100</v>
      </c>
      <c r="F91" s="76"/>
      <c r="G91" s="137"/>
      <c r="H91" s="6"/>
    </row>
    <row r="92" spans="2:14" ht="15" x14ac:dyDescent="0.35">
      <c r="B92" s="2" t="s">
        <v>136</v>
      </c>
      <c r="C92" s="115">
        <f t="shared" ref="C92:C105" si="6">E92/$C$84</f>
        <v>797.4537037037037</v>
      </c>
      <c r="D92" s="78">
        <f>E92/$E$105</f>
        <v>0.5877197242309915</v>
      </c>
      <c r="E92" s="115">
        <f>G10+G11</f>
        <v>68900</v>
      </c>
      <c r="H92" s="6"/>
      <c r="J92" s="30"/>
    </row>
    <row r="93" spans="2:14" ht="15" x14ac:dyDescent="0.35">
      <c r="B93" s="2" t="s">
        <v>101</v>
      </c>
      <c r="C93" s="12">
        <f>E93/$C$84</f>
        <v>-151.59722222222214</v>
      </c>
      <c r="D93" s="78">
        <f>E93/$E$105</f>
        <v>-0.11172645788066073</v>
      </c>
      <c r="E93" s="115">
        <f>+F80</f>
        <v>-13097.999999999995</v>
      </c>
      <c r="J93" s="30"/>
    </row>
    <row r="94" spans="2:14" ht="15" x14ac:dyDescent="0.35">
      <c r="B94" s="2"/>
      <c r="C94" s="12"/>
      <c r="D94" s="61" t="s">
        <v>157</v>
      </c>
      <c r="E94" s="115"/>
      <c r="J94" s="30"/>
    </row>
    <row r="95" spans="2:14" ht="15.45" x14ac:dyDescent="0.4">
      <c r="B95" s="3" t="s">
        <v>141</v>
      </c>
      <c r="C95" s="17">
        <f t="shared" si="6"/>
        <v>645.85648148148152</v>
      </c>
      <c r="D95" s="78">
        <f t="shared" ref="D95:D103" si="7">E95/$E$105</f>
        <v>0.47599326635033085</v>
      </c>
      <c r="E95" s="17">
        <f>E92+E93</f>
        <v>55802.000000000007</v>
      </c>
      <c r="J95" s="30"/>
    </row>
    <row r="96" spans="2:14" ht="15" x14ac:dyDescent="0.35">
      <c r="B96" s="66" t="s">
        <v>107</v>
      </c>
      <c r="C96" s="115">
        <f t="shared" si="6"/>
        <v>308.62268518518516</v>
      </c>
      <c r="D96" s="78">
        <f t="shared" si="7"/>
        <v>0.22745350430507097</v>
      </c>
      <c r="E96" s="116">
        <f>F52</f>
        <v>26665</v>
      </c>
    </row>
    <row r="97" spans="2:11" ht="15" x14ac:dyDescent="0.35">
      <c r="B97" s="66" t="s">
        <v>109</v>
      </c>
      <c r="C97" s="115">
        <f>E97/$C$84</f>
        <v>28.935185185185183</v>
      </c>
      <c r="D97" s="78">
        <f t="shared" si="7"/>
        <v>2.1325098847278359E-2</v>
      </c>
      <c r="E97" s="116">
        <f>F53+F54+F55</f>
        <v>2500</v>
      </c>
    </row>
    <row r="98" spans="2:11" ht="15" x14ac:dyDescent="0.35">
      <c r="B98" s="2" t="s">
        <v>190</v>
      </c>
      <c r="C98" s="115">
        <f>E98/$C$84</f>
        <v>0</v>
      </c>
      <c r="D98" s="78">
        <f t="shared" si="7"/>
        <v>0</v>
      </c>
      <c r="E98" s="116">
        <f>F59</f>
        <v>0</v>
      </c>
    </row>
    <row r="99" spans="2:11" ht="15.45" x14ac:dyDescent="0.4">
      <c r="B99" s="83" t="s">
        <v>314</v>
      </c>
      <c r="C99" s="398">
        <f t="shared" si="6"/>
        <v>151.70138888888889</v>
      </c>
      <c r="D99" s="78">
        <f t="shared" si="7"/>
        <v>0.11180322823651098</v>
      </c>
      <c r="E99" s="332">
        <f>+F56+F57</f>
        <v>13107</v>
      </c>
      <c r="F99" s="17"/>
      <c r="G99" s="209"/>
      <c r="I99" s="18"/>
      <c r="J99" s="30"/>
      <c r="K99" s="186"/>
    </row>
    <row r="100" spans="2:11" ht="15.45" x14ac:dyDescent="0.4">
      <c r="B100" s="83" t="s">
        <v>395</v>
      </c>
      <c r="C100" s="345">
        <f t="shared" si="6"/>
        <v>0.44849537037037035</v>
      </c>
      <c r="D100" s="78">
        <f t="shared" si="7"/>
        <v>3.3053903213281456E-4</v>
      </c>
      <c r="E100" s="332">
        <f>F66</f>
        <v>38.75</v>
      </c>
      <c r="F100" s="17"/>
      <c r="G100" s="209"/>
      <c r="I100" s="18"/>
      <c r="J100" s="30"/>
      <c r="K100" s="186"/>
    </row>
    <row r="101" spans="2:11" ht="15.45" x14ac:dyDescent="0.4">
      <c r="B101" s="225" t="s">
        <v>313</v>
      </c>
      <c r="C101" s="235">
        <f>C99+C100</f>
        <v>152.14988425925927</v>
      </c>
      <c r="D101" s="78">
        <f t="shared" si="7"/>
        <v>0.1121337672686438</v>
      </c>
      <c r="E101" s="226">
        <f>E99+E100</f>
        <v>13145.75</v>
      </c>
      <c r="F101" s="17">
        <f>E101</f>
        <v>13145.75</v>
      </c>
      <c r="G101" s="209"/>
      <c r="I101" s="18"/>
      <c r="J101" s="30"/>
      <c r="K101" s="186"/>
    </row>
    <row r="102" spans="2:11" ht="15" x14ac:dyDescent="0.35">
      <c r="B102" s="2" t="s">
        <v>189</v>
      </c>
      <c r="C102" s="12">
        <f t="shared" si="6"/>
        <v>47.782417237442921</v>
      </c>
      <c r="D102" s="78">
        <f t="shared" si="7"/>
        <v>3.5215422477132705E-2</v>
      </c>
      <c r="E102" s="116">
        <f>F68-F66</f>
        <v>4128.4008493150686</v>
      </c>
      <c r="F102" s="27">
        <f>E102</f>
        <v>4128.4008493150686</v>
      </c>
    </row>
    <row r="103" spans="2:11" ht="15" x14ac:dyDescent="0.35">
      <c r="B103" s="2" t="s">
        <v>184</v>
      </c>
      <c r="C103" s="12">
        <f t="shared" si="6"/>
        <v>173.51388888888889</v>
      </c>
      <c r="D103" s="78">
        <f t="shared" si="7"/>
        <v>0.1278789407515433</v>
      </c>
      <c r="E103" s="116">
        <f>F64</f>
        <v>14991.6</v>
      </c>
      <c r="F103" s="27">
        <f>E103</f>
        <v>14991.6</v>
      </c>
    </row>
    <row r="104" spans="2:11" ht="15" x14ac:dyDescent="0.35">
      <c r="B104" s="2"/>
      <c r="C104" s="12"/>
      <c r="D104" s="78"/>
      <c r="E104" s="116"/>
      <c r="G104" s="30"/>
    </row>
    <row r="105" spans="2:11" ht="15.45" x14ac:dyDescent="0.4">
      <c r="B105" s="138" t="s">
        <v>108</v>
      </c>
      <c r="C105" s="150">
        <f t="shared" si="6"/>
        <v>1356.860542237443</v>
      </c>
      <c r="D105" s="333">
        <f>E105/$E$105</f>
        <v>1</v>
      </c>
      <c r="E105" s="149">
        <f>SUM(E95:E98)+E101+E102+E103</f>
        <v>117232.75084931508</v>
      </c>
      <c r="F105" s="27">
        <f>SUM(F99:F103)</f>
        <v>32265.750849315067</v>
      </c>
    </row>
    <row r="106" spans="2:11" ht="15" x14ac:dyDescent="0.35">
      <c r="B106" s="2"/>
      <c r="C106" s="12"/>
      <c r="D106" s="61"/>
      <c r="E106" s="25"/>
      <c r="F106" s="22" t="s">
        <v>390</v>
      </c>
    </row>
    <row r="107" spans="2:11" ht="15.45" x14ac:dyDescent="0.4">
      <c r="B107" s="225" t="s">
        <v>195</v>
      </c>
      <c r="C107" s="228">
        <f>IF(F107=0,0,((C105-C95)/F107))</f>
        <v>2.3009840153914611</v>
      </c>
      <c r="D107" s="40"/>
      <c r="E107" s="1"/>
      <c r="F107" s="229">
        <f>I30</f>
        <v>309</v>
      </c>
      <c r="G107" s="36"/>
      <c r="I107" s="1"/>
    </row>
    <row r="108" spans="2:11" ht="15" x14ac:dyDescent="0.35">
      <c r="B108" s="1" t="s">
        <v>142</v>
      </c>
      <c r="D108" s="2"/>
      <c r="E108" s="2"/>
      <c r="F108" s="2"/>
    </row>
    <row r="110" spans="2:11" x14ac:dyDescent="0.3">
      <c r="B110" t="s">
        <v>216</v>
      </c>
    </row>
    <row r="111" spans="2:11" x14ac:dyDescent="0.3">
      <c r="J111" s="22"/>
    </row>
    <row r="112" spans="2:11" ht="17.600000000000001" x14ac:dyDescent="0.4">
      <c r="B112" s="68" t="s">
        <v>217</v>
      </c>
      <c r="D112" s="22"/>
      <c r="F112" s="22"/>
      <c r="H112" s="22"/>
      <c r="I112" s="22"/>
      <c r="J112" s="22"/>
      <c r="K112" s="22"/>
    </row>
    <row r="113" spans="2:25" x14ac:dyDescent="0.3">
      <c r="D113" s="36"/>
      <c r="E113" s="247"/>
      <c r="F113" s="27"/>
      <c r="G113" s="27"/>
      <c r="H113" s="27"/>
      <c r="I113" s="27"/>
      <c r="K113" s="22"/>
    </row>
    <row r="114" spans="2:25" ht="15.45" x14ac:dyDescent="0.4">
      <c r="B114" s="2"/>
      <c r="C114" s="3" t="s">
        <v>170</v>
      </c>
      <c r="D114" s="22" t="s">
        <v>273</v>
      </c>
      <c r="F114" s="226">
        <f>D86</f>
        <v>1370</v>
      </c>
      <c r="G114" s="22" t="s">
        <v>187</v>
      </c>
      <c r="K114" s="22"/>
      <c r="L114" s="22"/>
      <c r="M114" s="22"/>
      <c r="N114" s="22"/>
    </row>
    <row r="115" spans="2:25" ht="15.45" x14ac:dyDescent="0.4">
      <c r="B115" s="2" t="s">
        <v>227</v>
      </c>
      <c r="C115" s="38">
        <f>C81</f>
        <v>86.4</v>
      </c>
      <c r="D115" s="3"/>
      <c r="E115" s="2"/>
      <c r="F115" s="2"/>
      <c r="G115" s="2"/>
      <c r="H115" s="2"/>
      <c r="I115" s="2"/>
      <c r="K115" s="51"/>
      <c r="L115" s="51"/>
      <c r="M115" s="27"/>
      <c r="N115" s="51"/>
      <c r="O115" s="51"/>
    </row>
    <row r="116" spans="2:25" ht="15" x14ac:dyDescent="0.35">
      <c r="B116" s="2" t="s">
        <v>228</v>
      </c>
      <c r="C116" s="12">
        <f>F80</f>
        <v>-13097.999999999995</v>
      </c>
      <c r="D116" s="2"/>
      <c r="E116" s="2"/>
      <c r="F116" s="2"/>
      <c r="G116" s="2"/>
      <c r="H116" s="2"/>
      <c r="I116" s="2"/>
    </row>
    <row r="117" spans="2:25" ht="15" x14ac:dyDescent="0.35">
      <c r="B117" s="2" t="s">
        <v>229</v>
      </c>
      <c r="C117" s="25">
        <f>F64+F60-I12</f>
        <v>57263.600000000006</v>
      </c>
      <c r="D117" s="2" t="s">
        <v>278</v>
      </c>
      <c r="E117" s="2"/>
      <c r="F117" s="2"/>
      <c r="G117" s="2"/>
      <c r="H117" s="2"/>
      <c r="I117" s="2"/>
    </row>
    <row r="118" spans="2:25" ht="15.45" thickBot="1" x14ac:dyDescent="0.4">
      <c r="B118" s="2" t="s">
        <v>253</v>
      </c>
      <c r="C118" s="12">
        <f>F40*-1</f>
        <v>0</v>
      </c>
      <c r="D118" s="2" t="s">
        <v>279</v>
      </c>
      <c r="E118" s="2" t="s">
        <v>271</v>
      </c>
      <c r="F118" s="2"/>
      <c r="G118" s="2"/>
      <c r="H118" s="2"/>
      <c r="I118" s="2"/>
    </row>
    <row r="119" spans="2:25" ht="16.3" thickTop="1" thickBot="1" x14ac:dyDescent="0.45">
      <c r="B119" s="2" t="s">
        <v>256</v>
      </c>
      <c r="C119" s="251">
        <v>100</v>
      </c>
      <c r="D119" s="12">
        <f>C119*C115</f>
        <v>8640</v>
      </c>
      <c r="E119" s="266">
        <f>F127</f>
        <v>0.14648889773202395</v>
      </c>
      <c r="F119" s="2"/>
      <c r="G119" s="2"/>
      <c r="H119" s="2"/>
      <c r="I119" s="2"/>
      <c r="K119" s="21"/>
      <c r="L119" s="167"/>
    </row>
    <row r="120" spans="2:25" ht="16.3" thickTop="1" thickBot="1" x14ac:dyDescent="0.45">
      <c r="B120" s="2"/>
      <c r="C120" s="3"/>
      <c r="F120" s="2"/>
      <c r="G120" s="2"/>
      <c r="H120" s="2"/>
      <c r="I120" s="2"/>
      <c r="K120" s="21"/>
      <c r="L120" s="167"/>
    </row>
    <row r="121" spans="2:25" ht="15.9" thickTop="1" thickBot="1" x14ac:dyDescent="0.4">
      <c r="B121" s="2" t="s">
        <v>230</v>
      </c>
      <c r="C121" s="251">
        <v>10</v>
      </c>
      <c r="E121" s="56" t="s">
        <v>213</v>
      </c>
      <c r="F121" s="2"/>
      <c r="G121" s="137" t="s">
        <v>241</v>
      </c>
      <c r="H121" s="2"/>
      <c r="I121" s="2"/>
      <c r="V121" s="30">
        <f>I61</f>
        <v>86867.507008717323</v>
      </c>
    </row>
    <row r="122" spans="2:25" ht="15" customHeight="1" thickTop="1" x14ac:dyDescent="0.35">
      <c r="B122" s="2"/>
      <c r="C122" s="2"/>
      <c r="D122" s="2"/>
      <c r="E122" s="56" t="s">
        <v>252</v>
      </c>
      <c r="F122" s="2"/>
      <c r="G122" s="137" t="s">
        <v>75</v>
      </c>
      <c r="H122" s="2"/>
      <c r="I122" s="2"/>
      <c r="K122" s="2" t="s">
        <v>222</v>
      </c>
      <c r="V122" s="30">
        <f>V121-U127</f>
        <v>0</v>
      </c>
    </row>
    <row r="123" spans="2:25" ht="15.45" x14ac:dyDescent="0.4">
      <c r="B123" s="2"/>
      <c r="C123" s="485" t="s">
        <v>218</v>
      </c>
      <c r="D123" s="494"/>
      <c r="E123" s="56" t="s">
        <v>231</v>
      </c>
      <c r="F123" s="76" t="s">
        <v>98</v>
      </c>
      <c r="G123" s="255" t="s">
        <v>242</v>
      </c>
      <c r="J123" s="2" t="s">
        <v>100</v>
      </c>
      <c r="K123" s="2" t="s">
        <v>100</v>
      </c>
      <c r="L123" s="2"/>
      <c r="M123" s="2" t="s">
        <v>220</v>
      </c>
      <c r="N123" s="2"/>
      <c r="Q123" s="22" t="s">
        <v>243</v>
      </c>
    </row>
    <row r="124" spans="2:25" ht="15" x14ac:dyDescent="0.35">
      <c r="B124" s="2"/>
      <c r="C124" s="2" t="s">
        <v>219</v>
      </c>
      <c r="D124" s="2" t="s">
        <v>224</v>
      </c>
      <c r="E124" s="56" t="s">
        <v>254</v>
      </c>
      <c r="G124" s="255" t="s">
        <v>264</v>
      </c>
      <c r="J124" s="2" t="s">
        <v>223</v>
      </c>
      <c r="K124" s="2" t="s">
        <v>212</v>
      </c>
      <c r="L124" s="2" t="s">
        <v>210</v>
      </c>
      <c r="M124" s="2"/>
      <c r="N124" s="2" t="s">
        <v>221</v>
      </c>
      <c r="P124" s="2" t="s">
        <v>232</v>
      </c>
      <c r="Q124" s="22" t="s">
        <v>246</v>
      </c>
      <c r="S124" t="s">
        <v>28</v>
      </c>
      <c r="T124" t="s">
        <v>245</v>
      </c>
      <c r="U124" t="s">
        <v>233</v>
      </c>
      <c r="W124" s="22" t="s">
        <v>55</v>
      </c>
    </row>
    <row r="125" spans="2:25" ht="15" x14ac:dyDescent="0.35">
      <c r="B125" s="2"/>
      <c r="C125" s="25">
        <f>C126-C121</f>
        <v>110</v>
      </c>
      <c r="D125" s="25">
        <f>C125*($C$10+$C$11)*0.01</f>
        <v>583</v>
      </c>
      <c r="E125" s="25">
        <f>(D125*$D$8+$C$117+$K125+$C$116+$C$118+$D$119)/$C$81</f>
        <v>1328.1360550385898</v>
      </c>
      <c r="F125" s="199">
        <f>(($D$119+K125)/U125)</f>
        <v>0.15735909071831433</v>
      </c>
      <c r="G125" s="219">
        <f t="shared" ref="G125:G126" si="8">X125</f>
        <v>0.48905721826042936</v>
      </c>
      <c r="J125" s="10">
        <f t="shared" ref="J125:J126" si="9">K125/$C$115</f>
        <v>42.191610594145416</v>
      </c>
      <c r="K125" s="25">
        <f>L125+M125+N125</f>
        <v>3645.355155334164</v>
      </c>
      <c r="L125" s="21">
        <f>(($D125)*($C$67*0.01))*($J$31/365)*$D$8</f>
        <v>2418.7360730593609</v>
      </c>
      <c r="M125" s="25">
        <f>F66</f>
        <v>38.75</v>
      </c>
      <c r="N125" s="25">
        <f>N126</f>
        <v>1187.8690822748028</v>
      </c>
      <c r="P125" s="31">
        <f t="shared" ref="P125:P126" si="10">D125*$D$8</f>
        <v>58300</v>
      </c>
      <c r="Q125" s="30">
        <f>Q127</f>
        <v>28631.8</v>
      </c>
      <c r="R125" s="30">
        <f t="shared" ref="R125:R126" si="11">P125+Q125</f>
        <v>86931.8</v>
      </c>
      <c r="S125" s="252">
        <f t="shared" ref="S125:S126" si="12">$J$31/365</f>
        <v>0.82975508509755092</v>
      </c>
      <c r="T125" s="257">
        <f t="shared" ref="T125:T126" si="13">$M$71</f>
        <v>5940</v>
      </c>
      <c r="U125" s="253">
        <f t="shared" ref="U125:U126" si="14">R125*S125+T125</f>
        <v>78072.10310668328</v>
      </c>
      <c r="W125" s="18">
        <f t="shared" ref="W125:W126" si="15">P125+Q125*2+K125</f>
        <v>119208.95515533417</v>
      </c>
      <c r="X125" s="186">
        <f t="shared" ref="X125:X126" si="16">P125/W125</f>
        <v>0.48905721826042936</v>
      </c>
    </row>
    <row r="126" spans="2:25" ht="15" x14ac:dyDescent="0.35">
      <c r="B126" s="2"/>
      <c r="C126" s="25">
        <f>C127-C121</f>
        <v>120</v>
      </c>
      <c r="D126" s="25">
        <f t="shared" ref="D126" si="17">C126*($C$10+$C$11)*0.01</f>
        <v>636</v>
      </c>
      <c r="E126" s="25">
        <f>(D126*$D$8+$C$117+$K126+$C$116+$C$118+$D$119)/$C$81</f>
        <v>1392.0236140380212</v>
      </c>
      <c r="F126" s="199">
        <f>(($D$119+K126)/U126)</f>
        <v>0.15163416773127664</v>
      </c>
      <c r="G126" s="219">
        <f t="shared" si="8"/>
        <v>0.50990612813405767</v>
      </c>
      <c r="J126" s="10">
        <f t="shared" si="9"/>
        <v>44.736577000983971</v>
      </c>
      <c r="K126" s="25">
        <f>L126+M126+N126</f>
        <v>3865.2402528850153</v>
      </c>
      <c r="L126" s="21">
        <f>(($D126)*($C$67*0.01))*($J$31/365)*$D$8</f>
        <v>2638.6211706102122</v>
      </c>
      <c r="M126" s="25">
        <f t="shared" ref="M126:N129" si="18">M125</f>
        <v>38.75</v>
      </c>
      <c r="N126" s="25">
        <f>N127</f>
        <v>1187.8690822748028</v>
      </c>
      <c r="P126" s="31">
        <f t="shared" si="10"/>
        <v>63600</v>
      </c>
      <c r="Q126" s="30">
        <f>Q127</f>
        <v>28631.8</v>
      </c>
      <c r="R126" s="30">
        <f t="shared" si="11"/>
        <v>92231.8</v>
      </c>
      <c r="S126" s="252">
        <f t="shared" si="12"/>
        <v>0.82975508509755092</v>
      </c>
      <c r="T126" s="257">
        <f t="shared" si="13"/>
        <v>5940</v>
      </c>
      <c r="U126" s="253">
        <f t="shared" si="14"/>
        <v>82469.805057700301</v>
      </c>
      <c r="W126" s="18">
        <f t="shared" si="15"/>
        <v>124728.84025288503</v>
      </c>
      <c r="X126" s="186">
        <f t="shared" si="16"/>
        <v>0.50990612813405767</v>
      </c>
    </row>
    <row r="127" spans="2:25" ht="15.45" x14ac:dyDescent="0.4">
      <c r="B127" s="23" t="s">
        <v>255</v>
      </c>
      <c r="C127" s="26">
        <f>G12</f>
        <v>130</v>
      </c>
      <c r="D127" s="26">
        <f>C127*($C$10+$C$11)*0.01</f>
        <v>689</v>
      </c>
      <c r="E127" s="295">
        <f>(D127*$D$8+$C$117+$K127+$C$116+$C$118+$D$119)/$C$81</f>
        <v>1455.911173037452</v>
      </c>
      <c r="F127" s="203">
        <f>(($D$119+K127)/U127)</f>
        <v>0.14648889773202395</v>
      </c>
      <c r="G127" s="243">
        <f>X127</f>
        <v>0.52898790229711401</v>
      </c>
      <c r="J127" s="10">
        <f>K127/$C$115</f>
        <v>47.281543407822518</v>
      </c>
      <c r="K127" s="388">
        <f>L127+M127+N127</f>
        <v>4085.1253504358656</v>
      </c>
      <c r="L127" s="21">
        <f>(($D127)*($C$67*0.01))*($J$31/365)*$D$8</f>
        <v>2858.506268161063</v>
      </c>
      <c r="M127" s="25">
        <f t="shared" si="18"/>
        <v>38.75</v>
      </c>
      <c r="N127" s="21">
        <f>(((((SUM($D$52:$D$59)*0.5)+$D$64*0.5))*($C$67*0.01))*($J$31/365))*$D$8</f>
        <v>1187.8690822748028</v>
      </c>
      <c r="P127" s="165">
        <f>D127*$D$8</f>
        <v>68900</v>
      </c>
      <c r="Q127" s="165">
        <f>(((SUM($F$52:$F$59)+$F$64)*0.5))</f>
        <v>28631.8</v>
      </c>
      <c r="R127" s="253">
        <f>P127+Q127</f>
        <v>97531.8</v>
      </c>
      <c r="S127" s="254">
        <f>$J$31/365</f>
        <v>0.82975508509755092</v>
      </c>
      <c r="T127" s="253">
        <f>$M$71</f>
        <v>5940</v>
      </c>
      <c r="U127" s="253">
        <f>R127*S127+T127</f>
        <v>86867.507008717323</v>
      </c>
      <c r="V127" s="30"/>
      <c r="W127" s="18">
        <f>P127+Q127*2+K127</f>
        <v>130248.72535043587</v>
      </c>
      <c r="X127" s="186">
        <f>P127/W127</f>
        <v>0.52898790229711401</v>
      </c>
      <c r="Y127" s="52" t="s">
        <v>127</v>
      </c>
    </row>
    <row r="128" spans="2:25" ht="15" x14ac:dyDescent="0.35">
      <c r="B128" s="2"/>
      <c r="C128" s="25">
        <f>C127+C121</f>
        <v>140</v>
      </c>
      <c r="D128" s="25">
        <f t="shared" ref="D128:D129" si="19">C128*($C$10+$C$11)*0.01</f>
        <v>742</v>
      </c>
      <c r="E128" s="25">
        <f>(D128*$D$8+$C$117+$K128+$C$116+$C$118+$D$119)/$C$81</f>
        <v>1519.7987320368832</v>
      </c>
      <c r="F128" s="199">
        <f>(($D$119+K128)/U128)</f>
        <v>0.14183948730888216</v>
      </c>
      <c r="G128" s="219">
        <f t="shared" ref="G128:G129" si="20">X128</f>
        <v>0.54651807774394356</v>
      </c>
      <c r="J128" s="10">
        <f t="shared" ref="J128:J129" si="21">K128/$C$115</f>
        <v>49.826509814661073</v>
      </c>
      <c r="K128" s="25">
        <f>L128+M128+N128</f>
        <v>4305.0104479867168</v>
      </c>
      <c r="L128" s="21">
        <f>(($D128)*($C$67*0.01))*($J$31/365)*$D$8</f>
        <v>3078.3913657119137</v>
      </c>
      <c r="M128" s="25">
        <f t="shared" si="18"/>
        <v>38.75</v>
      </c>
      <c r="N128" s="25">
        <f t="shared" si="18"/>
        <v>1187.8690822748028</v>
      </c>
      <c r="P128" s="31">
        <f t="shared" ref="P128:P129" si="22">D128*$D$8</f>
        <v>74200</v>
      </c>
      <c r="Q128" s="30">
        <f>Q127</f>
        <v>28631.8</v>
      </c>
      <c r="R128" s="30">
        <f t="shared" ref="R128:R129" si="23">P128+Q128</f>
        <v>102831.8</v>
      </c>
      <c r="S128" s="252">
        <f t="shared" ref="S128:S129" si="24">$J$31/365</f>
        <v>0.82975508509755092</v>
      </c>
      <c r="T128" s="257">
        <f t="shared" ref="T128:T129" si="25">$M$71</f>
        <v>5940</v>
      </c>
      <c r="U128" s="253">
        <f t="shared" ref="U128:U129" si="26">R128*S128+T128</f>
        <v>91265.208959734344</v>
      </c>
      <c r="W128" s="18">
        <f t="shared" ref="W128:W129" si="27">P128+Q128*2+K128</f>
        <v>135768.61044798672</v>
      </c>
      <c r="X128" s="186">
        <f t="shared" ref="X128:X129" si="28">P128/W128</f>
        <v>0.54651807774394356</v>
      </c>
    </row>
    <row r="129" spans="2:24" ht="15" x14ac:dyDescent="0.35">
      <c r="B129" s="2"/>
      <c r="C129" s="25">
        <f>C128+C121</f>
        <v>150</v>
      </c>
      <c r="D129" s="25">
        <f t="shared" si="19"/>
        <v>795</v>
      </c>
      <c r="E129" s="25">
        <f>(D129*$D$8+$C$117+$K129+$C$116+$C$118+$D$119)/$C$81</f>
        <v>1583.6862910363143</v>
      </c>
      <c r="F129" s="199">
        <f>(($D$119+K129)/U129)</f>
        <v>0.13761755125578132</v>
      </c>
      <c r="G129" s="219">
        <f t="shared" si="20"/>
        <v>0.56267850891212157</v>
      </c>
      <c r="J129" s="10">
        <f t="shared" si="21"/>
        <v>52.371476221499627</v>
      </c>
      <c r="K129" s="25">
        <f>L129+M129+N129</f>
        <v>4524.8955455375681</v>
      </c>
      <c r="L129" s="21">
        <f>(($D129)*($C$67*0.01))*($J$31/365)*$D$8</f>
        <v>3298.276463262765</v>
      </c>
      <c r="M129" s="25">
        <f t="shared" si="18"/>
        <v>38.75</v>
      </c>
      <c r="N129" s="25">
        <f t="shared" si="18"/>
        <v>1187.8690822748028</v>
      </c>
      <c r="P129" s="31">
        <f t="shared" si="22"/>
        <v>79500</v>
      </c>
      <c r="Q129" s="30">
        <f>Q128</f>
        <v>28631.8</v>
      </c>
      <c r="R129" s="30">
        <f t="shared" si="23"/>
        <v>108131.8</v>
      </c>
      <c r="S129" s="252">
        <f t="shared" si="24"/>
        <v>0.82975508509755092</v>
      </c>
      <c r="T129" s="257">
        <f t="shared" si="25"/>
        <v>5940</v>
      </c>
      <c r="U129" s="253">
        <f t="shared" si="26"/>
        <v>95662.910910751365</v>
      </c>
      <c r="W129" s="18">
        <f t="shared" si="27"/>
        <v>141288.49554553756</v>
      </c>
      <c r="X129" s="186">
        <f t="shared" si="28"/>
        <v>0.56267850891212157</v>
      </c>
    </row>
    <row r="130" spans="2:24" ht="15" x14ac:dyDescent="0.35">
      <c r="B130" s="22" t="s">
        <v>270</v>
      </c>
      <c r="C130" s="25"/>
      <c r="D130" s="25"/>
      <c r="E130" s="25"/>
      <c r="F130" s="199"/>
      <c r="G130" s="189"/>
      <c r="J130" s="10"/>
      <c r="K130" s="25"/>
      <c r="L130" s="21"/>
      <c r="M130" s="25"/>
      <c r="N130" s="25"/>
      <c r="P130" s="31"/>
      <c r="Q130" s="30"/>
      <c r="R130" s="30"/>
      <c r="S130" s="252"/>
      <c r="T130" s="257"/>
      <c r="U130" s="253"/>
      <c r="W130" s="18"/>
      <c r="X130" s="186"/>
    </row>
    <row r="131" spans="2:24" ht="15" x14ac:dyDescent="0.35">
      <c r="B131" s="2"/>
      <c r="C131" s="2"/>
      <c r="D131" s="2"/>
      <c r="E131" s="2"/>
      <c r="F131" s="2"/>
      <c r="G131" s="2"/>
      <c r="H131" s="2"/>
      <c r="I131" s="2"/>
      <c r="K131" t="s">
        <v>247</v>
      </c>
      <c r="M131" t="s">
        <v>248</v>
      </c>
    </row>
    <row r="132" spans="2:24" ht="15" x14ac:dyDescent="0.35">
      <c r="J132" s="12">
        <f>D86</f>
        <v>1370</v>
      </c>
      <c r="K132" s="51">
        <f>E127-J132</f>
        <v>85.911173037452045</v>
      </c>
      <c r="L132" s="30">
        <f>D40</f>
        <v>0</v>
      </c>
      <c r="M132" s="51">
        <f>K132-L132</f>
        <v>85.911173037452045</v>
      </c>
      <c r="U132" s="22" t="s">
        <v>95</v>
      </c>
    </row>
    <row r="134" spans="2:24" x14ac:dyDescent="0.3">
      <c r="J134" s="22" t="s">
        <v>225</v>
      </c>
      <c r="K134" s="27">
        <f>D125</f>
        <v>583</v>
      </c>
      <c r="L134" s="27">
        <f>D126</f>
        <v>636</v>
      </c>
      <c r="M134" s="27">
        <f>D127</f>
        <v>689</v>
      </c>
      <c r="N134" s="27">
        <f>D128</f>
        <v>742</v>
      </c>
      <c r="O134" s="27">
        <f>D129</f>
        <v>795</v>
      </c>
    </row>
    <row r="135" spans="2:24" x14ac:dyDescent="0.3">
      <c r="J135" s="22" t="s">
        <v>226</v>
      </c>
      <c r="K135" s="27">
        <f>E125</f>
        <v>1328.1360550385898</v>
      </c>
      <c r="L135" s="27">
        <f>E126</f>
        <v>1392.0236140380212</v>
      </c>
      <c r="M135" s="27">
        <f>E127</f>
        <v>1455.911173037452</v>
      </c>
      <c r="N135" s="27">
        <f>E128</f>
        <v>1519.7987320368832</v>
      </c>
      <c r="O135" s="27">
        <f>E129</f>
        <v>1583.6862910363143</v>
      </c>
    </row>
    <row r="166" spans="2:7" x14ac:dyDescent="0.3">
      <c r="B166" s="1" t="s">
        <v>261</v>
      </c>
    </row>
    <row r="167" spans="2:7" ht="50.05" customHeight="1" x14ac:dyDescent="0.3">
      <c r="B167" s="495" t="s">
        <v>259</v>
      </c>
      <c r="C167" s="496"/>
      <c r="D167" s="496"/>
      <c r="E167" s="496"/>
      <c r="F167" s="496"/>
      <c r="G167" s="496"/>
    </row>
    <row r="168" spans="2:7" ht="14.15" x14ac:dyDescent="0.3">
      <c r="B168" s="264"/>
    </row>
    <row r="169" spans="2:7" ht="75" customHeight="1" x14ac:dyDescent="0.3">
      <c r="B169" s="493" t="s">
        <v>260</v>
      </c>
      <c r="C169" s="492"/>
      <c r="D169" s="492"/>
      <c r="E169" s="492"/>
      <c r="F169" s="492"/>
      <c r="G169" s="492"/>
    </row>
    <row r="170" spans="2:7" ht="15.45" x14ac:dyDescent="0.3">
      <c r="B170" s="265"/>
    </row>
  </sheetData>
  <mergeCells count="7">
    <mergeCell ref="B169:G169"/>
    <mergeCell ref="B1:G1"/>
    <mergeCell ref="C123:D123"/>
    <mergeCell ref="B167:G167"/>
    <mergeCell ref="B56:C56"/>
    <mergeCell ref="B57:C57"/>
    <mergeCell ref="C3:F3"/>
  </mergeCells>
  <phoneticPr fontId="5" type="noConversion"/>
  <pageMargins left="1" right="0.5" top="1" bottom="1" header="0.5" footer="0.5"/>
  <pageSetup scale="71" orientation="portrait" horizontalDpi="1200" verticalDpi="1200" r:id="rId1"/>
  <headerFooter alignWithMargins="0">
    <oddFooter>&amp;L&amp;F
&amp;R&amp;A
Page &amp;P of &amp;N</oddFooter>
  </headerFooter>
  <rowBreaks count="2" manualBreakCount="2">
    <brk id="60" min="1" max="6" man="1"/>
    <brk id="110" min="1" max="6" man="1"/>
  </rowBreaks>
  <ignoredErrors>
    <ignoredError sqref="F54 C101 D6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51"/>
  <sheetViews>
    <sheetView topLeftCell="A17" workbookViewId="0">
      <selection activeCell="G65" sqref="G65"/>
    </sheetView>
  </sheetViews>
  <sheetFormatPr defaultRowHeight="12.45" x14ac:dyDescent="0.3"/>
  <cols>
    <col min="1" max="1" width="4.07421875" customWidth="1"/>
    <col min="2" max="2" width="46" customWidth="1"/>
    <col min="3" max="3" width="17.23046875" customWidth="1"/>
    <col min="4" max="4" width="19.53515625" customWidth="1"/>
    <col min="5" max="5" width="12.4609375" customWidth="1"/>
    <col min="6" max="6" width="3.23046875" customWidth="1"/>
    <col min="7" max="7" width="14.3046875" customWidth="1"/>
    <col min="8" max="8" width="17" customWidth="1"/>
  </cols>
  <sheetData>
    <row r="1" spans="2:8" ht="17.600000000000001" x14ac:dyDescent="0.4">
      <c r="B1" s="501" t="s">
        <v>202</v>
      </c>
      <c r="C1" s="486"/>
      <c r="D1" s="486"/>
      <c r="E1" s="492"/>
    </row>
    <row r="2" spans="2:8" ht="15.45" x14ac:dyDescent="0.4">
      <c r="B2" s="485" t="str">
        <f>'2.WeanedCalf to Sell Bred Heif '!C3</f>
        <v>Angus heifers bred to Hereford bulls</v>
      </c>
      <c r="C2" s="486"/>
      <c r="D2" s="486"/>
      <c r="E2" s="377"/>
    </row>
    <row r="3" spans="2:8" ht="15.45" x14ac:dyDescent="0.4">
      <c r="B3" s="395"/>
      <c r="C3" s="396"/>
      <c r="D3" s="396"/>
      <c r="E3" s="397"/>
    </row>
    <row r="4" spans="2:8" ht="15.45" x14ac:dyDescent="0.4">
      <c r="B4" s="279" t="s">
        <v>168</v>
      </c>
      <c r="C4" s="3" t="str">
        <f>'2.WeanedCalf to Sell Bred Heif '!F5</f>
        <v>Sexed Semen AI</v>
      </c>
      <c r="D4" s="3" t="str">
        <f>IF('2.WeanedCalf to Sell Bred Heif '!E5=1,'2.WeanedCalf to Sell Bred Heif '!F6," ")</f>
        <v>Heat Detection AI</v>
      </c>
    </row>
    <row r="5" spans="2:8" ht="15" x14ac:dyDescent="0.35">
      <c r="B5" s="2" t="s">
        <v>66</v>
      </c>
      <c r="C5" s="217">
        <f>'1. Dates&amp;Descripitions'!C7</f>
        <v>43753</v>
      </c>
    </row>
    <row r="6" spans="2:8" ht="15" x14ac:dyDescent="0.35">
      <c r="B6" s="2" t="s">
        <v>186</v>
      </c>
      <c r="C6" s="218">
        <f>'2.WeanedCalf to Sell Bred Heif '!D8</f>
        <v>100</v>
      </c>
    </row>
    <row r="7" spans="2:8" ht="15" x14ac:dyDescent="0.35">
      <c r="B7" s="2" t="s">
        <v>194</v>
      </c>
      <c r="C7" s="218">
        <f>'2.WeanedCalf to Sell Bred Heif '!K10</f>
        <v>530</v>
      </c>
    </row>
    <row r="8" spans="2:8" ht="15" x14ac:dyDescent="0.35">
      <c r="B8" s="2" t="s">
        <v>160</v>
      </c>
      <c r="C8" s="217">
        <f>'1. Dates&amp;Descripitions'!C8</f>
        <v>43525</v>
      </c>
      <c r="E8" s="1"/>
    </row>
    <row r="9" spans="2:8" ht="15" x14ac:dyDescent="0.35">
      <c r="B9" s="2" t="s">
        <v>67</v>
      </c>
      <c r="C9" s="217">
        <f>'1. Dates&amp;Descripitions'!C13</f>
        <v>43952</v>
      </c>
    </row>
    <row r="10" spans="2:8" ht="15" x14ac:dyDescent="0.35">
      <c r="B10" s="2" t="s">
        <v>4</v>
      </c>
      <c r="C10" s="262">
        <f>'2.WeanedCalf to Sell Bred Heif '!C16*0.01</f>
        <v>0.01</v>
      </c>
    </row>
    <row r="11" spans="2:8" ht="15" x14ac:dyDescent="0.35">
      <c r="B11" s="2" t="s">
        <v>257</v>
      </c>
      <c r="C11" s="263">
        <f>'2.WeanedCalf to Sell Bred Heif '!I19</f>
        <v>1.183996371301262</v>
      </c>
    </row>
    <row r="12" spans="2:8" ht="15" x14ac:dyDescent="0.35">
      <c r="B12" s="2" t="str">
        <f>'2.WeanedCalf to Sell Bred Heif '!B17</f>
        <v>Number of Heifers Exposed</v>
      </c>
      <c r="C12" s="7">
        <f>'2.WeanedCalf to Sell Bred Heif '!E17</f>
        <v>96</v>
      </c>
    </row>
    <row r="13" spans="2:8" ht="15" x14ac:dyDescent="0.35">
      <c r="B13" s="2" t="s">
        <v>71</v>
      </c>
      <c r="C13" s="218">
        <f>'2.WeanedCalf to Sell Bred Heif '!C27</f>
        <v>60</v>
      </c>
    </row>
    <row r="14" spans="2:8" ht="15" x14ac:dyDescent="0.35">
      <c r="B14" s="2" t="s">
        <v>2</v>
      </c>
      <c r="C14" s="218">
        <f>'2.WeanedCalf to Sell Bred Heif '!C28</f>
        <v>50</v>
      </c>
    </row>
    <row r="15" spans="2:8" ht="15" x14ac:dyDescent="0.35">
      <c r="B15" s="2" t="s">
        <v>30</v>
      </c>
      <c r="C15" s="217">
        <f>'1. Dates&amp;Descripitions'!C19</f>
        <v>44044</v>
      </c>
    </row>
    <row r="16" spans="2:8" ht="15" x14ac:dyDescent="0.35">
      <c r="B16" s="2" t="s">
        <v>207</v>
      </c>
      <c r="C16" s="185">
        <f>C17-C5</f>
        <v>309</v>
      </c>
      <c r="G16" s="36"/>
      <c r="H16" s="22"/>
    </row>
    <row r="17" spans="2:8" ht="15" x14ac:dyDescent="0.35">
      <c r="B17" s="2" t="s">
        <v>58</v>
      </c>
      <c r="C17" s="19">
        <f>C9+C13+C14</f>
        <v>44062</v>
      </c>
      <c r="G17" s="22"/>
      <c r="H17" s="22"/>
    </row>
    <row r="18" spans="2:8" ht="15" x14ac:dyDescent="0.35">
      <c r="B18" s="2" t="s">
        <v>0</v>
      </c>
      <c r="C18" s="8">
        <f>C9+283</f>
        <v>44235</v>
      </c>
      <c r="G18" s="36"/>
      <c r="H18" s="36"/>
    </row>
    <row r="19" spans="2:8" ht="15.45" x14ac:dyDescent="0.4">
      <c r="B19" s="3" t="s">
        <v>205</v>
      </c>
      <c r="C19" s="111">
        <f>IF('2.WeanedCalf to Sell Bred Heif '!E5=2,"Natural Service",IF('2.WeanedCalf to Sell Bred Heif '!E6=1,'4.SexedSemen AI BreedingCost'!D19,'4.SexedSemen AI BreedingCost'!D19)*0.01)</f>
        <v>0.46656000000000009</v>
      </c>
    </row>
    <row r="20" spans="2:8" ht="15.45" x14ac:dyDescent="0.4">
      <c r="B20" s="3" t="s">
        <v>206</v>
      </c>
      <c r="C20" s="111">
        <f>IF('2.WeanedCalf to Sell Bred Heif '!E5=2,'2.WeanedCalf to Sell Bred Heif '!G19,'2.WeanedCalf to Sell Bred Heif '!D19)*0.01</f>
        <v>0.9</v>
      </c>
      <c r="G20" s="3"/>
    </row>
    <row r="21" spans="2:8" ht="15.45" x14ac:dyDescent="0.4">
      <c r="B21" s="3" t="s">
        <v>53</v>
      </c>
      <c r="C21" s="76" t="s">
        <v>21</v>
      </c>
      <c r="D21" s="76" t="s">
        <v>250</v>
      </c>
      <c r="E21" s="76" t="s">
        <v>42</v>
      </c>
      <c r="G21" s="281"/>
      <c r="H21" s="280"/>
    </row>
    <row r="22" spans="2:8" ht="15" x14ac:dyDescent="0.35">
      <c r="B22" s="2" t="s">
        <v>530</v>
      </c>
      <c r="C22" s="133">
        <f>'2.WeanedCalf to Sell Bred Heif '!C34</f>
        <v>3</v>
      </c>
      <c r="D22" s="12">
        <f>'2.WeanedCalf to Sell Bred Heif '!D34</f>
        <v>910</v>
      </c>
      <c r="E22" s="12">
        <f>'2.WeanedCalf to Sell Bred Heif '!E34</f>
        <v>130</v>
      </c>
      <c r="G22" s="2"/>
      <c r="H22" s="8"/>
    </row>
    <row r="23" spans="2:8" ht="15" x14ac:dyDescent="0.35">
      <c r="B23" s="2" t="s">
        <v>531</v>
      </c>
      <c r="C23" s="133">
        <f>'2.WeanedCalf to Sell Bred Heif '!C35</f>
        <v>9.5999999999999943</v>
      </c>
      <c r="D23" s="12">
        <f>'2.WeanedCalf to Sell Bred Heif '!D35</f>
        <v>1080</v>
      </c>
      <c r="E23" s="12">
        <f>'2.WeanedCalf to Sell Bred Heif '!E35</f>
        <v>120</v>
      </c>
      <c r="G23" s="2"/>
      <c r="H23" s="8"/>
    </row>
    <row r="24" spans="2:8" ht="15" x14ac:dyDescent="0.35">
      <c r="B24" s="2" t="s">
        <v>529</v>
      </c>
      <c r="C24" s="133">
        <f>'2.WeanedCalf to Sell Bred Heif '!C36</f>
        <v>51.84</v>
      </c>
      <c r="D24" s="12">
        <f>'2.WeanedCalf to Sell Bred Heif '!D36</f>
        <v>1450</v>
      </c>
      <c r="G24" s="2"/>
      <c r="H24" s="7"/>
    </row>
    <row r="25" spans="2:8" ht="15" x14ac:dyDescent="0.35">
      <c r="B25" s="2" t="s">
        <v>391</v>
      </c>
      <c r="C25" s="133">
        <f>'2.WeanedCalf to Sell Bred Heif '!C38</f>
        <v>0</v>
      </c>
      <c r="D25" s="12">
        <f>'2.WeanedCalf to Sell Bred Heif '!D38</f>
        <v>1250</v>
      </c>
      <c r="G25" s="2"/>
      <c r="H25" s="8"/>
    </row>
    <row r="26" spans="2:8" ht="15" x14ac:dyDescent="0.35">
      <c r="B26" s="2" t="s">
        <v>511</v>
      </c>
      <c r="C26" s="133">
        <f>'2.WeanedCalf to Sell Bred Heif '!C39</f>
        <v>0</v>
      </c>
      <c r="D26" s="12">
        <f>'2.WeanedCalf to Sell Bred Heif '!D39</f>
        <v>1080</v>
      </c>
      <c r="G26" s="2"/>
      <c r="H26" s="8"/>
    </row>
    <row r="27" spans="2:8" ht="15" x14ac:dyDescent="0.35">
      <c r="B27" s="2" t="s">
        <v>392</v>
      </c>
      <c r="C27" s="133">
        <f>'2.WeanedCalf to Sell Bred Heif '!C40</f>
        <v>86.4</v>
      </c>
      <c r="D27" s="12">
        <f>'2.WeanedCalf to Sell Bred Heif '!D40</f>
        <v>0</v>
      </c>
      <c r="G27" s="2"/>
      <c r="H27" s="8"/>
    </row>
    <row r="28" spans="2:8" ht="15.45" x14ac:dyDescent="0.4">
      <c r="B28" s="225" t="s">
        <v>121</v>
      </c>
      <c r="C28" s="227">
        <f>'2.WeanedCalf to Sell Bred Heif '!C41</f>
        <v>99</v>
      </c>
      <c r="D28" s="226">
        <f>'2.WeanedCalf to Sell Bred Heif '!D41</f>
        <v>1327.939393939394</v>
      </c>
      <c r="G28" s="2"/>
      <c r="H28" s="219"/>
    </row>
    <row r="29" spans="2:8" ht="15.45" x14ac:dyDescent="0.4">
      <c r="B29" s="75" t="s">
        <v>393</v>
      </c>
      <c r="D29" s="17">
        <f>D24-D23</f>
        <v>370</v>
      </c>
      <c r="G29" s="2"/>
      <c r="H29" s="61"/>
    </row>
    <row r="30" spans="2:8" ht="15.45" x14ac:dyDescent="0.4">
      <c r="B30" s="3" t="s">
        <v>123</v>
      </c>
      <c r="C30" s="76" t="s">
        <v>187</v>
      </c>
      <c r="D30" s="76" t="s">
        <v>258</v>
      </c>
      <c r="G30" s="2"/>
      <c r="H30" s="219"/>
    </row>
    <row r="31" spans="2:8" ht="15" x14ac:dyDescent="0.35">
      <c r="B31" s="2" t="s">
        <v>532</v>
      </c>
      <c r="C31" s="12">
        <f>'2.WeanedCalf to Sell Bred Heif '!C92</f>
        <v>797.4537037037037</v>
      </c>
      <c r="D31" s="219">
        <f>'2.WeanedCalf to Sell Bred Heif '!D92</f>
        <v>0.5877197242309915</v>
      </c>
      <c r="G31" s="83"/>
      <c r="H31" s="12"/>
    </row>
    <row r="32" spans="2:8" ht="15" x14ac:dyDescent="0.35">
      <c r="B32" s="2" t="s">
        <v>533</v>
      </c>
      <c r="C32" s="12">
        <f>'2.WeanedCalf to Sell Bred Heif '!C93</f>
        <v>-151.59722222222214</v>
      </c>
      <c r="D32" s="219">
        <f>'2.WeanedCalf to Sell Bred Heif '!D93</f>
        <v>-0.11172645788066073</v>
      </c>
      <c r="G32" s="83"/>
      <c r="H32" s="12"/>
    </row>
    <row r="33" spans="2:8" ht="15.55" customHeight="1" x14ac:dyDescent="0.4">
      <c r="B33" s="2"/>
      <c r="C33" s="12"/>
      <c r="D33" s="243" t="s">
        <v>394</v>
      </c>
      <c r="G33" s="83"/>
      <c r="H33" s="12"/>
    </row>
    <row r="34" spans="2:8" ht="15.45" x14ac:dyDescent="0.4">
      <c r="B34" s="3" t="s">
        <v>141</v>
      </c>
      <c r="C34" s="17">
        <f>'2.WeanedCalf to Sell Bred Heif '!C95</f>
        <v>645.85648148148152</v>
      </c>
      <c r="D34" s="243">
        <f t="shared" ref="D34:D40" si="0">C34/$C$41</f>
        <v>0.47599326635033079</v>
      </c>
      <c r="H34" s="258"/>
    </row>
    <row r="35" spans="2:8" ht="15" x14ac:dyDescent="0.35">
      <c r="B35" s="66" t="s">
        <v>107</v>
      </c>
      <c r="C35" s="12">
        <f>'2.WeanedCalf to Sell Bred Heif '!C96</f>
        <v>308.62268518518516</v>
      </c>
      <c r="D35" s="219">
        <f t="shared" si="0"/>
        <v>0.22745350430507097</v>
      </c>
      <c r="G35" s="83"/>
      <c r="H35" s="219"/>
    </row>
    <row r="36" spans="2:8" ht="15" x14ac:dyDescent="0.35">
      <c r="B36" s="66" t="s">
        <v>109</v>
      </c>
      <c r="C36" s="12">
        <f>'2.WeanedCalf to Sell Bred Heif '!C97</f>
        <v>28.935185185185183</v>
      </c>
      <c r="D36" s="219">
        <f t="shared" si="0"/>
        <v>2.1325098847278356E-2</v>
      </c>
      <c r="G36" s="83"/>
      <c r="H36" s="219"/>
    </row>
    <row r="37" spans="2:8" ht="15" x14ac:dyDescent="0.35">
      <c r="B37" s="2" t="s">
        <v>190</v>
      </c>
      <c r="C37" s="12">
        <f>'2.WeanedCalf to Sell Bred Heif '!C98</f>
        <v>0</v>
      </c>
      <c r="D37" s="219">
        <f t="shared" si="0"/>
        <v>0</v>
      </c>
      <c r="G37" s="83"/>
      <c r="H37" s="219"/>
    </row>
    <row r="38" spans="2:8" ht="15.45" x14ac:dyDescent="0.4">
      <c r="B38" s="225" t="s">
        <v>167</v>
      </c>
      <c r="C38" s="17">
        <f>'2.WeanedCalf to Sell Bred Heif '!C99+'2.WeanedCalf to Sell Bred Heif '!C100</f>
        <v>152.14988425925927</v>
      </c>
      <c r="D38" s="243">
        <f t="shared" si="0"/>
        <v>0.1121337672686438</v>
      </c>
      <c r="G38" s="83"/>
      <c r="H38" s="219"/>
    </row>
    <row r="39" spans="2:8" ht="15.45" x14ac:dyDescent="0.4">
      <c r="B39" s="2" t="s">
        <v>184</v>
      </c>
      <c r="C39" s="12">
        <f>'2.WeanedCalf to Sell Bred Heif '!C103</f>
        <v>173.51388888888889</v>
      </c>
      <c r="D39" s="219">
        <f t="shared" si="0"/>
        <v>0.1278789407515433</v>
      </c>
      <c r="G39" s="75"/>
      <c r="H39" s="243"/>
    </row>
    <row r="40" spans="2:8" ht="15" x14ac:dyDescent="0.35">
      <c r="B40" s="2" t="s">
        <v>189</v>
      </c>
      <c r="C40" s="12">
        <f>'2.WeanedCalf to Sell Bred Heif '!C102</f>
        <v>47.782417237442921</v>
      </c>
      <c r="D40" s="219">
        <f t="shared" si="0"/>
        <v>3.5215422477132705E-2</v>
      </c>
      <c r="G40" s="83"/>
      <c r="H40" s="219"/>
    </row>
    <row r="41" spans="2:8" ht="15.45" x14ac:dyDescent="0.4">
      <c r="B41" s="225" t="s">
        <v>108</v>
      </c>
      <c r="C41" s="226">
        <f>SUM(C34:C40)</f>
        <v>1356.860542237443</v>
      </c>
      <c r="D41" s="219">
        <f>C41/$C$41</f>
        <v>1</v>
      </c>
      <c r="E41" s="189"/>
      <c r="F41" s="30"/>
      <c r="G41" s="400"/>
      <c r="H41" s="10"/>
    </row>
    <row r="42" spans="2:8" ht="15" x14ac:dyDescent="0.35">
      <c r="B42" s="219"/>
      <c r="C42" s="219"/>
      <c r="D42" s="219"/>
      <c r="G42" s="83"/>
      <c r="H42" s="12"/>
    </row>
    <row r="43" spans="2:8" ht="15.45" x14ac:dyDescent="0.4">
      <c r="B43" s="225" t="s">
        <v>249</v>
      </c>
      <c r="C43" s="228">
        <f>'2.WeanedCalf to Sell Bred Heif '!C107</f>
        <v>2.3009840153914611</v>
      </c>
      <c r="G43" s="83"/>
      <c r="H43" s="117"/>
    </row>
    <row r="44" spans="2:8" ht="15" x14ac:dyDescent="0.35">
      <c r="G44" s="83"/>
      <c r="H44" s="12"/>
    </row>
    <row r="45" spans="2:8" ht="15.45" x14ac:dyDescent="0.4">
      <c r="B45" s="75" t="s">
        <v>176</v>
      </c>
      <c r="C45" s="17">
        <f>'2.WeanedCalf to Sell Bred Heif '!D86</f>
        <v>1370</v>
      </c>
      <c r="G45" s="83"/>
      <c r="H45" s="12"/>
    </row>
    <row r="46" spans="2:8" ht="15" x14ac:dyDescent="0.35">
      <c r="B46" s="70"/>
      <c r="C46" s="2"/>
      <c r="G46" s="83"/>
      <c r="H46" s="219"/>
    </row>
    <row r="47" spans="2:8" ht="15.45" x14ac:dyDescent="0.4">
      <c r="B47" s="225" t="s">
        <v>147</v>
      </c>
      <c r="C47" s="235">
        <f>'2.WeanedCalf to Sell Bred Heif '!D88</f>
        <v>13.139457762556924</v>
      </c>
    </row>
    <row r="48" spans="2:8" ht="15" x14ac:dyDescent="0.35">
      <c r="B48" s="70"/>
      <c r="C48" s="2"/>
    </row>
    <row r="49" spans="2:7" ht="15.45" x14ac:dyDescent="0.4">
      <c r="B49" s="75" t="s">
        <v>188</v>
      </c>
      <c r="C49" s="203">
        <f>'2.WeanedCalf to Sell Bred Heif '!F74</f>
        <v>6.1040084867036423E-2</v>
      </c>
      <c r="G49" s="60" t="s">
        <v>237</v>
      </c>
    </row>
    <row r="50" spans="2:7" ht="15.45" x14ac:dyDescent="0.4">
      <c r="B50" s="22" t="s">
        <v>142</v>
      </c>
      <c r="C50" s="203"/>
    </row>
    <row r="51" spans="2:7" ht="15.45" x14ac:dyDescent="0.4">
      <c r="C51" s="203"/>
    </row>
  </sheetData>
  <sheetProtection sheet="1" objects="1" scenarios="1"/>
  <mergeCells count="2">
    <mergeCell ref="B1:E1"/>
    <mergeCell ref="B2:D2"/>
  </mergeCells>
  <pageMargins left="0.95" right="0.45" top="0.75" bottom="0.75" header="0.3" footer="0.3"/>
  <pageSetup scale="69"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88AA-900C-4088-9D88-458947E85010}">
  <dimension ref="A1:M103"/>
  <sheetViews>
    <sheetView topLeftCell="A9" zoomScaleNormal="100" workbookViewId="0">
      <selection activeCell="D13" sqref="D13"/>
    </sheetView>
  </sheetViews>
  <sheetFormatPr defaultRowHeight="12.45" x14ac:dyDescent="0.3"/>
  <cols>
    <col min="1" max="1" width="4.07421875" customWidth="1"/>
    <col min="2" max="2" width="43.3828125" customWidth="1"/>
    <col min="4" max="4" width="16.84375" customWidth="1"/>
    <col min="5" max="5" width="12" customWidth="1"/>
    <col min="6" max="6" width="12.15234375" customWidth="1"/>
    <col min="7" max="7" width="11.921875" customWidth="1"/>
    <col min="8" max="8" width="14.765625" customWidth="1"/>
    <col min="11" max="11" width="12.23046875" customWidth="1"/>
  </cols>
  <sheetData>
    <row r="1" spans="2:13" ht="17.600000000000001" x14ac:dyDescent="0.4">
      <c r="B1" s="501" t="s">
        <v>412</v>
      </c>
      <c r="C1" s="486"/>
      <c r="D1" s="486"/>
      <c r="E1" s="486"/>
      <c r="F1" s="486"/>
      <c r="G1" s="486"/>
      <c r="H1" s="486"/>
      <c r="I1" s="404"/>
      <c r="M1" s="70"/>
    </row>
    <row r="2" spans="2:13" ht="17.600000000000001" x14ac:dyDescent="0.4">
      <c r="B2" s="403"/>
      <c r="C2" s="401"/>
      <c r="D2" s="401"/>
      <c r="E2" s="401"/>
      <c r="F2" s="401"/>
      <c r="G2" s="401"/>
      <c r="H2" s="401"/>
      <c r="I2" s="404"/>
      <c r="M2" s="70"/>
    </row>
    <row r="3" spans="2:13" ht="17.600000000000001" x14ac:dyDescent="0.4">
      <c r="B3" s="501" t="s">
        <v>413</v>
      </c>
      <c r="C3" s="501"/>
      <c r="D3" s="501"/>
      <c r="E3" s="501"/>
      <c r="F3" s="501"/>
      <c r="G3" s="501"/>
      <c r="H3" s="501"/>
      <c r="I3" s="401"/>
      <c r="M3" s="70"/>
    </row>
    <row r="4" spans="2:13" ht="17.600000000000001" x14ac:dyDescent="0.4">
      <c r="B4" s="403"/>
      <c r="C4" s="56"/>
      <c r="D4" s="56"/>
      <c r="E4" s="56"/>
      <c r="F4" s="56"/>
      <c r="G4" s="56"/>
      <c r="H4" s="56"/>
      <c r="I4" s="401"/>
      <c r="M4" s="70"/>
    </row>
    <row r="5" spans="2:13" ht="15.45" x14ac:dyDescent="0.4">
      <c r="B5" s="3" t="s">
        <v>414</v>
      </c>
      <c r="C5" s="502" t="s">
        <v>539</v>
      </c>
      <c r="D5" s="503"/>
      <c r="E5" s="503"/>
      <c r="F5" s="503"/>
      <c r="G5" s="503"/>
      <c r="H5" s="504"/>
      <c r="M5" s="70"/>
    </row>
    <row r="6" spans="2:13" ht="15.45" x14ac:dyDescent="0.4">
      <c r="B6" s="3"/>
      <c r="C6" s="407"/>
      <c r="D6" s="408"/>
      <c r="E6" s="408"/>
      <c r="F6" s="408"/>
      <c r="G6" s="408"/>
      <c r="H6" s="408"/>
      <c r="M6" s="70"/>
    </row>
    <row r="7" spans="2:13" ht="15.45" x14ac:dyDescent="0.4">
      <c r="B7" s="3" t="s">
        <v>137</v>
      </c>
      <c r="C7" s="349"/>
      <c r="D7" s="188">
        <f>'2.WeanedCalf to Sell Bred Heif '!E17</f>
        <v>96</v>
      </c>
      <c r="E7" s="3" t="s">
        <v>545</v>
      </c>
      <c r="F7" s="409"/>
      <c r="G7" s="409"/>
      <c r="H7" s="483" t="s">
        <v>75</v>
      </c>
      <c r="I7" s="22"/>
      <c r="M7" s="70"/>
    </row>
    <row r="8" spans="2:13" ht="15.45" x14ac:dyDescent="0.4">
      <c r="B8" s="3"/>
      <c r="C8" s="92"/>
      <c r="D8" s="98"/>
      <c r="E8" s="2"/>
      <c r="F8" s="316"/>
      <c r="G8" s="316"/>
      <c r="H8" s="273"/>
      <c r="I8" s="22"/>
      <c r="M8" s="70"/>
    </row>
    <row r="9" spans="2:13" ht="15.45" x14ac:dyDescent="0.4">
      <c r="B9" s="3" t="s">
        <v>110</v>
      </c>
      <c r="D9" s="356">
        <v>90</v>
      </c>
      <c r="E9" s="402" t="s">
        <v>6</v>
      </c>
      <c r="F9" s="316"/>
      <c r="G9" s="316"/>
      <c r="I9" s="411"/>
      <c r="J9" s="2"/>
      <c r="M9" s="70"/>
    </row>
    <row r="10" spans="2:13" ht="15" x14ac:dyDescent="0.35">
      <c r="B10" s="2" t="s">
        <v>343</v>
      </c>
      <c r="D10" s="356">
        <v>60</v>
      </c>
      <c r="E10" s="402" t="s">
        <v>6</v>
      </c>
      <c r="F10" s="316"/>
      <c r="G10" s="316"/>
      <c r="I10" s="411"/>
      <c r="J10" s="2"/>
      <c r="M10" s="70"/>
    </row>
    <row r="11" spans="2:13" ht="15" x14ac:dyDescent="0.35">
      <c r="B11" s="2" t="s">
        <v>500</v>
      </c>
      <c r="D11" s="356">
        <v>92</v>
      </c>
      <c r="E11" s="402" t="s">
        <v>6</v>
      </c>
      <c r="J11" s="2"/>
      <c r="M11" s="70"/>
    </row>
    <row r="12" spans="2:13" ht="15.45" x14ac:dyDescent="0.4">
      <c r="B12" s="75" t="s">
        <v>498</v>
      </c>
      <c r="D12" s="476">
        <f>D10*D11*0.01</f>
        <v>55.2</v>
      </c>
      <c r="E12" s="454" t="s">
        <v>6</v>
      </c>
      <c r="J12" s="2"/>
      <c r="M12" s="70"/>
    </row>
    <row r="13" spans="2:13" ht="15" x14ac:dyDescent="0.35">
      <c r="B13" s="2" t="s">
        <v>416</v>
      </c>
      <c r="D13" s="356">
        <v>90</v>
      </c>
      <c r="E13" s="402" t="s">
        <v>6</v>
      </c>
      <c r="M13" s="70"/>
    </row>
    <row r="14" spans="2:13" ht="15.45" x14ac:dyDescent="0.4">
      <c r="C14" s="3"/>
      <c r="D14" s="69" t="s">
        <v>537</v>
      </c>
      <c r="E14" s="69"/>
      <c r="F14" s="69" t="s">
        <v>78</v>
      </c>
      <c r="J14" s="30"/>
      <c r="M14" s="70"/>
    </row>
    <row r="15" spans="2:13" ht="15.45" x14ac:dyDescent="0.4">
      <c r="B15" s="2" t="s">
        <v>499</v>
      </c>
      <c r="D15" s="355">
        <f>D7</f>
        <v>96</v>
      </c>
      <c r="E15" s="7"/>
      <c r="F15" s="7">
        <f>D15-D20</f>
        <v>44.16</v>
      </c>
      <c r="H15" s="2"/>
      <c r="M15" s="70"/>
    </row>
    <row r="16" spans="2:13" ht="15" x14ac:dyDescent="0.35">
      <c r="D16" s="98">
        <f>D13*D10*0.01</f>
        <v>54</v>
      </c>
      <c r="E16" s="357"/>
      <c r="F16" s="358">
        <f>(((D15*D9*0.01)-D20)/(D15-D20))*100</f>
        <v>78.260869565217405</v>
      </c>
      <c r="I16" s="7"/>
      <c r="J16" s="2"/>
      <c r="M16" s="70"/>
    </row>
    <row r="17" spans="2:13" ht="15.45" x14ac:dyDescent="0.4">
      <c r="B17" s="2"/>
      <c r="C17" s="2"/>
      <c r="D17" s="110" t="s">
        <v>536</v>
      </c>
      <c r="E17" s="359"/>
      <c r="F17" s="110" t="s">
        <v>79</v>
      </c>
      <c r="G17" s="110" t="s">
        <v>80</v>
      </c>
      <c r="H17" s="110" t="s">
        <v>344</v>
      </c>
      <c r="M17" s="70"/>
    </row>
    <row r="18" spans="2:13" ht="15.45" x14ac:dyDescent="0.4">
      <c r="B18" s="2" t="s">
        <v>418</v>
      </c>
      <c r="C18" s="2" t="s">
        <v>81</v>
      </c>
      <c r="D18" s="7">
        <f>IF($H$7="Bull",($D16*0.01*$D13*0.01*$D15),($D16*0.01*(100-$D13)*0.01*$D15))</f>
        <v>5.1840000000000011</v>
      </c>
      <c r="E18" s="7"/>
      <c r="F18" s="7">
        <f>(F15)*0.5*0.01*F16</f>
        <v>17.28</v>
      </c>
      <c r="G18" s="7">
        <f>D18+F18</f>
        <v>22.464000000000002</v>
      </c>
      <c r="H18" s="111">
        <f>IF(G20=0,0,G18/$G20)</f>
        <v>0.26</v>
      </c>
      <c r="M18" s="70"/>
    </row>
    <row r="19" spans="2:13" ht="15.45" x14ac:dyDescent="0.4">
      <c r="B19" s="2"/>
      <c r="C19" s="2" t="s">
        <v>75</v>
      </c>
      <c r="D19" s="7">
        <f>IF($H7="Heifer",($D16*0.01*$D13*0.01*$D15),($D16*0.01*(100-$D13)*0.01*$D15))</f>
        <v>46.656000000000006</v>
      </c>
      <c r="E19" s="7"/>
      <c r="F19" s="7">
        <f>(F15*0.5*0.01*F16)</f>
        <v>17.28</v>
      </c>
      <c r="G19" s="7">
        <f>D19+F19</f>
        <v>63.936000000000007</v>
      </c>
      <c r="H19" s="111">
        <f>IF(G20=0,0,G19/$G20)</f>
        <v>0.74</v>
      </c>
      <c r="M19" s="70"/>
    </row>
    <row r="20" spans="2:13" ht="15.45" x14ac:dyDescent="0.4">
      <c r="B20" s="2"/>
      <c r="C20" s="3" t="s">
        <v>80</v>
      </c>
      <c r="D20" s="38">
        <f>D18+D19</f>
        <v>51.84</v>
      </c>
      <c r="E20" s="38"/>
      <c r="F20" s="38">
        <f>F18+F19</f>
        <v>34.56</v>
      </c>
      <c r="G20" s="38">
        <f>G18+G19</f>
        <v>86.4</v>
      </c>
      <c r="H20" s="61"/>
      <c r="M20" s="70"/>
    </row>
    <row r="21" spans="2:13" ht="15.45" x14ac:dyDescent="0.4">
      <c r="B21" s="79"/>
      <c r="C21" s="79"/>
      <c r="D21" s="80"/>
      <c r="E21" s="412" t="s">
        <v>419</v>
      </c>
      <c r="G21" s="81" t="s">
        <v>345</v>
      </c>
      <c r="H21" s="81" t="s">
        <v>82</v>
      </c>
      <c r="I21" t="s">
        <v>346</v>
      </c>
      <c r="J21" s="414"/>
      <c r="M21" s="70"/>
    </row>
    <row r="22" spans="2:13" ht="15.45" x14ac:dyDescent="0.4">
      <c r="B22" s="85" t="s">
        <v>347</v>
      </c>
      <c r="C22" s="79"/>
      <c r="D22" s="38">
        <f>D20</f>
        <v>51.84</v>
      </c>
      <c r="E22" s="111">
        <f>D20/G20</f>
        <v>0.6</v>
      </c>
      <c r="G22" s="38">
        <f>G20</f>
        <v>86.4</v>
      </c>
      <c r="H22" s="82">
        <f>G20/D15</f>
        <v>0.9</v>
      </c>
      <c r="I22" s="7">
        <f>$D$7-G22</f>
        <v>9.5999999999999943</v>
      </c>
      <c r="J22" s="368"/>
      <c r="M22" s="70"/>
    </row>
    <row r="23" spans="2:13" ht="15.45" x14ac:dyDescent="0.4">
      <c r="B23" s="354"/>
      <c r="C23" s="56"/>
      <c r="D23" s="56"/>
      <c r="E23" s="56"/>
      <c r="F23" s="56"/>
      <c r="G23" s="56"/>
      <c r="H23" s="56"/>
      <c r="M23" s="70"/>
    </row>
    <row r="24" spans="2:13" ht="15" x14ac:dyDescent="0.35">
      <c r="B24" s="86" t="s">
        <v>83</v>
      </c>
      <c r="C24" s="86"/>
      <c r="D24" s="86"/>
      <c r="E24" s="86"/>
      <c r="F24" s="86"/>
      <c r="G24" s="86"/>
      <c r="H24" s="86"/>
      <c r="I24" s="360"/>
      <c r="J24" s="70"/>
      <c r="K24" s="70"/>
      <c r="L24" s="70"/>
      <c r="M24" s="70"/>
    </row>
    <row r="25" spans="2:13" ht="15.45" x14ac:dyDescent="0.4">
      <c r="B25" s="3" t="s">
        <v>137</v>
      </c>
      <c r="C25" s="355">
        <f>D7</f>
        <v>96</v>
      </c>
      <c r="D25" s="354" t="s">
        <v>85</v>
      </c>
      <c r="E25" s="87"/>
      <c r="F25" s="137" t="s">
        <v>169</v>
      </c>
      <c r="G25" s="354" t="s">
        <v>6</v>
      </c>
      <c r="H25" s="354" t="s">
        <v>80</v>
      </c>
      <c r="I25" s="327"/>
      <c r="J25" s="70"/>
      <c r="K25" s="70"/>
      <c r="L25" s="70"/>
      <c r="M25" s="70"/>
    </row>
    <row r="26" spans="2:13" ht="15.45" x14ac:dyDescent="0.4">
      <c r="B26" s="361" t="s">
        <v>348</v>
      </c>
      <c r="C26" s="88" t="s">
        <v>86</v>
      </c>
      <c r="D26" s="354" t="s">
        <v>86</v>
      </c>
      <c r="E26" s="89" t="s">
        <v>87</v>
      </c>
      <c r="F26" s="354" t="s">
        <v>75</v>
      </c>
      <c r="G26" s="354" t="s">
        <v>89</v>
      </c>
      <c r="H26" s="354" t="s">
        <v>306</v>
      </c>
      <c r="I26" s="327"/>
      <c r="K26" s="70"/>
      <c r="L26" s="70"/>
      <c r="M26" s="70"/>
    </row>
    <row r="27" spans="2:13" ht="15" x14ac:dyDescent="0.35">
      <c r="B27" s="482" t="s">
        <v>349</v>
      </c>
      <c r="C27" s="9" t="s">
        <v>21</v>
      </c>
      <c r="D27" s="53">
        <f t="shared" ref="D27:D34" si="0">$C$25</f>
        <v>96</v>
      </c>
      <c r="E27" s="9">
        <v>5</v>
      </c>
      <c r="F27" s="90">
        <f>IF($C$25=0,0,H27/$C$25)</f>
        <v>5</v>
      </c>
      <c r="G27" s="61">
        <f>IF(H27=0," ",IF($H$43=0,0,H27/$H$49))</f>
        <v>3.6621652552071414E-2</v>
      </c>
      <c r="H27" s="91">
        <f>IF($C$25=0,0,D27*E27)</f>
        <v>480</v>
      </c>
      <c r="I27" s="327"/>
      <c r="J27" s="83"/>
      <c r="K27" s="70"/>
      <c r="L27" s="70"/>
      <c r="M27" s="70"/>
    </row>
    <row r="28" spans="2:13" ht="15" x14ac:dyDescent="0.35">
      <c r="B28" s="9" t="s">
        <v>540</v>
      </c>
      <c r="C28" s="9" t="s">
        <v>21</v>
      </c>
      <c r="D28" s="53">
        <f t="shared" si="0"/>
        <v>96</v>
      </c>
      <c r="E28" s="9">
        <v>10</v>
      </c>
      <c r="F28" s="90">
        <f t="shared" ref="F28:F42" si="1">IF($C$25=0,0,H28/$C$25)</f>
        <v>10</v>
      </c>
      <c r="G28" s="61">
        <f t="shared" ref="G28:G43" si="2">IF(H28=0," ",IF($H$43=0,0,H28/$H$49))</f>
        <v>7.3243305104142828E-2</v>
      </c>
      <c r="H28" s="91">
        <f t="shared" ref="H28:H41" si="3">IF($C$25=0,0,D28*E28)</f>
        <v>960</v>
      </c>
      <c r="I28" s="327"/>
      <c r="J28" s="83"/>
      <c r="K28" s="70"/>
      <c r="L28" s="70"/>
      <c r="M28" s="70"/>
    </row>
    <row r="29" spans="2:13" ht="15.45" x14ac:dyDescent="0.4">
      <c r="B29" s="9" t="s">
        <v>541</v>
      </c>
      <c r="C29" s="9" t="s">
        <v>21</v>
      </c>
      <c r="D29" s="53">
        <f t="shared" si="0"/>
        <v>96</v>
      </c>
      <c r="E29" s="9">
        <v>8</v>
      </c>
      <c r="F29" s="90">
        <f t="shared" si="1"/>
        <v>8</v>
      </c>
      <c r="G29" s="61">
        <f t="shared" si="2"/>
        <v>5.859464408331426E-2</v>
      </c>
      <c r="H29" s="91">
        <f t="shared" si="3"/>
        <v>768</v>
      </c>
      <c r="J29" s="109" t="s">
        <v>94</v>
      </c>
      <c r="K29" s="100" t="e">
        <f>#REF!</f>
        <v>#REF!</v>
      </c>
      <c r="L29" s="70"/>
      <c r="M29" s="70"/>
    </row>
    <row r="30" spans="2:13" ht="15.45" x14ac:dyDescent="0.4">
      <c r="B30" s="9" t="s">
        <v>351</v>
      </c>
      <c r="C30" s="9" t="s">
        <v>21</v>
      </c>
      <c r="D30" s="53">
        <f t="shared" si="0"/>
        <v>96</v>
      </c>
      <c r="E30" s="9">
        <v>1.5</v>
      </c>
      <c r="F30" s="90">
        <f>IF($C$25=0,0,H30/$C$25)</f>
        <v>1.5</v>
      </c>
      <c r="G30" s="61">
        <f t="shared" si="2"/>
        <v>1.0986495765621425E-2</v>
      </c>
      <c r="H30" s="91">
        <f>IF($C$25=0,0,D30*E30)</f>
        <v>144</v>
      </c>
      <c r="J30" s="109" t="s">
        <v>350</v>
      </c>
      <c r="K30" s="100">
        <f>'6. Bull Cost'!$G$4</f>
        <v>2</v>
      </c>
      <c r="L30" s="70"/>
      <c r="M30" s="70"/>
    </row>
    <row r="31" spans="2:13" ht="15.45" x14ac:dyDescent="0.4">
      <c r="B31" s="9" t="s">
        <v>92</v>
      </c>
      <c r="C31" s="9" t="s">
        <v>21</v>
      </c>
      <c r="D31" s="53">
        <f t="shared" si="0"/>
        <v>96</v>
      </c>
      <c r="E31" s="9">
        <v>0</v>
      </c>
      <c r="F31" s="90">
        <f t="shared" si="1"/>
        <v>0</v>
      </c>
      <c r="G31" s="61" t="str">
        <f t="shared" si="2"/>
        <v xml:space="preserve"> </v>
      </c>
      <c r="H31" s="91">
        <f t="shared" si="3"/>
        <v>0</v>
      </c>
      <c r="J31" s="109" t="s">
        <v>221</v>
      </c>
      <c r="K31" s="96">
        <f>'6. Bull Cost'!H32</f>
        <v>33.958333333333336</v>
      </c>
      <c r="L31" s="70"/>
      <c r="M31" s="70"/>
    </row>
    <row r="32" spans="2:13" ht="15.45" x14ac:dyDescent="0.4">
      <c r="B32" s="9" t="s">
        <v>92</v>
      </c>
      <c r="C32" s="9" t="s">
        <v>21</v>
      </c>
      <c r="D32" s="53">
        <f t="shared" si="0"/>
        <v>96</v>
      </c>
      <c r="E32" s="9">
        <v>0</v>
      </c>
      <c r="F32" s="90">
        <f t="shared" si="1"/>
        <v>0</v>
      </c>
      <c r="G32" s="61" t="str">
        <f t="shared" si="2"/>
        <v xml:space="preserve"> </v>
      </c>
      <c r="H32" s="91">
        <f t="shared" si="3"/>
        <v>0</v>
      </c>
      <c r="J32" s="109" t="s">
        <v>212</v>
      </c>
      <c r="K32" s="374">
        <f>'6. Bull Cost'!H34</f>
        <v>3.09375</v>
      </c>
      <c r="L32" s="327" t="s">
        <v>352</v>
      </c>
      <c r="M32" s="70"/>
    </row>
    <row r="33" spans="2:13" ht="15.45" x14ac:dyDescent="0.4">
      <c r="B33" s="9" t="s">
        <v>92</v>
      </c>
      <c r="C33" s="9" t="s">
        <v>21</v>
      </c>
      <c r="D33" s="53">
        <f t="shared" si="0"/>
        <v>96</v>
      </c>
      <c r="E33" s="9">
        <v>0</v>
      </c>
      <c r="F33" s="90">
        <f t="shared" si="1"/>
        <v>0</v>
      </c>
      <c r="G33" s="61" t="str">
        <f t="shared" si="2"/>
        <v xml:space="preserve"> </v>
      </c>
      <c r="H33" s="91">
        <f t="shared" si="3"/>
        <v>0</v>
      </c>
      <c r="J33" s="109" t="s">
        <v>80</v>
      </c>
      <c r="K33" s="96">
        <f>K31+K32</f>
        <v>37.052083333333336</v>
      </c>
      <c r="L33" s="70"/>
      <c r="M33" s="70"/>
    </row>
    <row r="34" spans="2:13" ht="15" x14ac:dyDescent="0.35">
      <c r="B34" s="9" t="s">
        <v>92</v>
      </c>
      <c r="C34" s="9" t="s">
        <v>21</v>
      </c>
      <c r="D34" s="53">
        <f t="shared" si="0"/>
        <v>96</v>
      </c>
      <c r="E34" s="9">
        <v>12</v>
      </c>
      <c r="F34" s="90">
        <f t="shared" si="1"/>
        <v>12</v>
      </c>
      <c r="G34" s="61">
        <f t="shared" si="2"/>
        <v>8.7891966124971396E-2</v>
      </c>
      <c r="H34" s="91">
        <f t="shared" si="3"/>
        <v>1152</v>
      </c>
      <c r="M34" s="70"/>
    </row>
    <row r="35" spans="2:13" ht="15" x14ac:dyDescent="0.35">
      <c r="B35" s="2" t="s">
        <v>172</v>
      </c>
      <c r="C35" s="9" t="s">
        <v>353</v>
      </c>
      <c r="D35" s="15">
        <v>6</v>
      </c>
      <c r="M35" s="70"/>
    </row>
    <row r="36" spans="2:13" ht="15" x14ac:dyDescent="0.35">
      <c r="B36" s="92" t="s">
        <v>173</v>
      </c>
      <c r="C36" s="92" t="s">
        <v>21</v>
      </c>
      <c r="D36" s="362">
        <f>$C$25*D35</f>
        <v>576</v>
      </c>
      <c r="E36" s="9">
        <v>3</v>
      </c>
      <c r="F36" s="90">
        <f t="shared" si="1"/>
        <v>18</v>
      </c>
      <c r="G36" s="61">
        <f t="shared" si="2"/>
        <v>0.13183794918745709</v>
      </c>
      <c r="H36" s="91">
        <f t="shared" si="3"/>
        <v>1728</v>
      </c>
      <c r="M36" s="70"/>
    </row>
    <row r="37" spans="2:13" ht="15" x14ac:dyDescent="0.35">
      <c r="B37" s="92" t="s">
        <v>354</v>
      </c>
      <c r="C37" s="92" t="s">
        <v>28</v>
      </c>
      <c r="D37" s="15">
        <v>3</v>
      </c>
      <c r="E37" s="9">
        <v>150</v>
      </c>
      <c r="F37" s="90">
        <f t="shared" si="1"/>
        <v>4.6875</v>
      </c>
      <c r="G37" s="61">
        <f t="shared" si="2"/>
        <v>3.4332799267566952E-2</v>
      </c>
      <c r="H37" s="91">
        <f t="shared" si="3"/>
        <v>450</v>
      </c>
    </row>
    <row r="38" spans="2:13" ht="15" x14ac:dyDescent="0.35">
      <c r="B38" s="2" t="s">
        <v>355</v>
      </c>
      <c r="C38" s="92" t="s">
        <v>90</v>
      </c>
      <c r="D38" s="53">
        <f t="shared" ref="D38:D42" si="4">$C$25</f>
        <v>96</v>
      </c>
      <c r="E38" s="9">
        <v>8</v>
      </c>
      <c r="F38" s="90">
        <f>IF($C$25=0,0,H38/$C$25)</f>
        <v>8</v>
      </c>
      <c r="G38" s="61">
        <f>IF(H38=0," ",IF($H$43=0,0,H38/$H$49))</f>
        <v>5.859464408331426E-2</v>
      </c>
      <c r="H38" s="91">
        <f>IF($C$25=0,0,D38*E38)</f>
        <v>768</v>
      </c>
    </row>
    <row r="39" spans="2:13" ht="15" x14ac:dyDescent="0.35">
      <c r="B39" s="2" t="s">
        <v>542</v>
      </c>
      <c r="C39" s="92" t="s">
        <v>543</v>
      </c>
      <c r="D39" s="15">
        <v>2</v>
      </c>
      <c r="E39" s="9">
        <v>110</v>
      </c>
      <c r="F39" s="90">
        <f>IF($C$25=0,0,H39/$C$25)</f>
        <v>2.2916666666666665</v>
      </c>
      <c r="G39" s="61">
        <f>IF(H39=0," ",IF($H$43=0,0,H39/$H$49))</f>
        <v>1.6784924086366063E-2</v>
      </c>
      <c r="H39" s="91">
        <f>IF($C$25=0,0,D39*E39)</f>
        <v>220</v>
      </c>
    </row>
    <row r="40" spans="2:13" ht="15" x14ac:dyDescent="0.35">
      <c r="B40" s="92" t="s">
        <v>91</v>
      </c>
      <c r="C40" s="92" t="s">
        <v>21</v>
      </c>
      <c r="D40" s="53">
        <f t="shared" si="4"/>
        <v>96</v>
      </c>
      <c r="E40" s="9">
        <v>5</v>
      </c>
      <c r="F40" s="90">
        <f t="shared" si="1"/>
        <v>5</v>
      </c>
      <c r="G40" s="61">
        <f t="shared" si="2"/>
        <v>3.6621652552071414E-2</v>
      </c>
      <c r="H40" s="91">
        <f t="shared" si="3"/>
        <v>480</v>
      </c>
    </row>
    <row r="41" spans="2:13" ht="15" x14ac:dyDescent="0.35">
      <c r="B41" s="9" t="s">
        <v>92</v>
      </c>
      <c r="C41" s="9" t="s">
        <v>21</v>
      </c>
      <c r="D41" s="53">
        <f t="shared" si="4"/>
        <v>96</v>
      </c>
      <c r="E41" s="9">
        <v>0</v>
      </c>
      <c r="F41" s="90">
        <f t="shared" si="1"/>
        <v>0</v>
      </c>
      <c r="G41" s="61" t="str">
        <f t="shared" si="2"/>
        <v xml:space="preserve"> </v>
      </c>
      <c r="H41" s="91">
        <f t="shared" si="3"/>
        <v>0</v>
      </c>
    </row>
    <row r="42" spans="2:13" ht="15" x14ac:dyDescent="0.35">
      <c r="B42" s="79" t="s">
        <v>422</v>
      </c>
      <c r="C42" s="92" t="s">
        <v>93</v>
      </c>
      <c r="D42" s="53">
        <f t="shared" si="4"/>
        <v>96</v>
      </c>
      <c r="E42" s="9">
        <v>25</v>
      </c>
      <c r="F42" s="90">
        <f t="shared" si="1"/>
        <v>25</v>
      </c>
      <c r="G42" s="61">
        <f t="shared" si="2"/>
        <v>0.18310826276035705</v>
      </c>
      <c r="H42" s="91">
        <f>IF($C$25=0,0,D42*E42)</f>
        <v>2400</v>
      </c>
    </row>
    <row r="43" spans="2:13" ht="15.45" x14ac:dyDescent="0.4">
      <c r="B43" s="93" t="s">
        <v>356</v>
      </c>
      <c r="C43" s="94">
        <f>C25</f>
        <v>96</v>
      </c>
      <c r="D43" s="95"/>
      <c r="E43" s="96"/>
      <c r="F43" s="96">
        <f>SUM(F27:F42)</f>
        <v>99.479166666666671</v>
      </c>
      <c r="G43" s="111">
        <f t="shared" si="2"/>
        <v>0.7286182955672541</v>
      </c>
      <c r="H43" s="97">
        <f>SUM(H27:H42)</f>
        <v>9550</v>
      </c>
      <c r="I43" s="327"/>
      <c r="J43" s="83"/>
      <c r="K43" s="70"/>
      <c r="L43" s="70"/>
      <c r="M43" s="70"/>
    </row>
    <row r="44" spans="2:13" ht="15.45" x14ac:dyDescent="0.4">
      <c r="B44" s="93"/>
      <c r="C44" s="83"/>
      <c r="D44" s="72"/>
      <c r="E44" s="72"/>
      <c r="G44" s="72"/>
      <c r="H44" s="101"/>
      <c r="M44" s="70"/>
    </row>
    <row r="45" spans="2:13" ht="15.45" x14ac:dyDescent="0.4">
      <c r="B45" s="102"/>
      <c r="C45" s="69" t="s">
        <v>21</v>
      </c>
      <c r="D45" s="72" t="s">
        <v>357</v>
      </c>
      <c r="E45" s="72" t="s">
        <v>358</v>
      </c>
      <c r="F45" s="2"/>
      <c r="H45" s="69"/>
      <c r="M45" s="70"/>
    </row>
    <row r="46" spans="2:13" ht="15.45" x14ac:dyDescent="0.4">
      <c r="B46" s="93" t="s">
        <v>359</v>
      </c>
      <c r="C46" s="103">
        <f>C25</f>
        <v>96</v>
      </c>
      <c r="D46" s="188">
        <f>C46/E46</f>
        <v>48</v>
      </c>
      <c r="E46" s="343">
        <f>K30</f>
        <v>2</v>
      </c>
      <c r="F46" s="163">
        <f>K33</f>
        <v>37.052083333333336</v>
      </c>
      <c r="G46" s="111">
        <f t="shared" ref="G46" si="5">IF(H46=0," ",IF($H$43=0,0,H46/$H$49))</f>
        <v>0.27138170443274584</v>
      </c>
      <c r="H46" s="105">
        <f>C46*F46</f>
        <v>3557</v>
      </c>
      <c r="M46" s="70"/>
    </row>
    <row r="47" spans="2:13" ht="15.45" x14ac:dyDescent="0.4">
      <c r="B47" s="93"/>
      <c r="C47" s="103"/>
      <c r="D47" s="103"/>
      <c r="E47" s="106"/>
      <c r="G47" s="104"/>
      <c r="H47" s="105"/>
      <c r="J47" s="83"/>
      <c r="K47" s="70"/>
      <c r="L47" s="70"/>
      <c r="M47" s="70"/>
    </row>
    <row r="48" spans="2:13" ht="15.45" x14ac:dyDescent="0.4">
      <c r="B48" s="75" t="s">
        <v>360</v>
      </c>
      <c r="C48" s="83"/>
      <c r="D48" s="75" t="s">
        <v>96</v>
      </c>
      <c r="E48" s="83"/>
      <c r="F48" s="69" t="s">
        <v>1</v>
      </c>
      <c r="H48" s="69"/>
      <c r="I48" s="327"/>
      <c r="J48" s="363"/>
      <c r="K48" s="364"/>
      <c r="L48" s="70"/>
      <c r="M48" s="70"/>
    </row>
    <row r="49" spans="1:13" ht="15.45" x14ac:dyDescent="0.4">
      <c r="B49" s="225" t="s">
        <v>361</v>
      </c>
      <c r="C49" s="365"/>
      <c r="D49" s="366">
        <f>C46</f>
        <v>96</v>
      </c>
      <c r="E49" s="334"/>
      <c r="F49" s="367">
        <f>H49/D49</f>
        <v>136.53125</v>
      </c>
      <c r="G49" s="334"/>
      <c r="H49" s="335">
        <f>H43+H46</f>
        <v>13107</v>
      </c>
      <c r="I49" s="327"/>
      <c r="J49" s="363"/>
      <c r="K49" s="364"/>
      <c r="L49" s="70"/>
      <c r="M49" s="70"/>
    </row>
    <row r="50" spans="1:13" ht="15" x14ac:dyDescent="0.35">
      <c r="B50" s="79"/>
      <c r="C50" s="22"/>
      <c r="D50" s="79"/>
      <c r="E50" s="79"/>
      <c r="G50" s="107"/>
      <c r="I50" s="368"/>
      <c r="J50" s="70"/>
      <c r="K50" s="70"/>
      <c r="L50" s="70"/>
      <c r="M50" s="70"/>
    </row>
    <row r="51" spans="1:13" ht="15.45" x14ac:dyDescent="0.4">
      <c r="B51" s="369" t="s">
        <v>362</v>
      </c>
      <c r="C51" s="145"/>
      <c r="D51" s="370">
        <f>G22</f>
        <v>86.4</v>
      </c>
      <c r="E51" s="369"/>
      <c r="F51" s="174"/>
      <c r="G51" s="371">
        <f>H49/D51</f>
        <v>151.70138888888889</v>
      </c>
      <c r="I51" s="108"/>
      <c r="J51" s="109"/>
      <c r="K51" s="70"/>
      <c r="L51" s="70"/>
      <c r="M51" s="70"/>
    </row>
    <row r="52" spans="1:13" ht="15.45" x14ac:dyDescent="0.4">
      <c r="A52" s="70"/>
      <c r="B52" s="22" t="s">
        <v>363</v>
      </c>
      <c r="C52" s="109"/>
      <c r="D52" s="372"/>
      <c r="E52" s="85"/>
      <c r="F52" s="70"/>
      <c r="G52" s="373"/>
      <c r="H52" s="70"/>
      <c r="I52" s="108"/>
      <c r="J52" s="109"/>
      <c r="K52" s="70"/>
      <c r="L52" s="70"/>
      <c r="M52" s="70"/>
    </row>
    <row r="53" spans="1:13" ht="15.45" x14ac:dyDescent="0.4">
      <c r="A53" s="70"/>
      <c r="B53" s="85"/>
      <c r="C53" s="109"/>
      <c r="D53" s="372"/>
      <c r="E53" s="85"/>
      <c r="F53" s="70"/>
      <c r="G53" s="373"/>
      <c r="H53" s="70"/>
      <c r="I53" s="108"/>
      <c r="J53" s="109"/>
      <c r="K53" s="70"/>
      <c r="L53" s="70"/>
      <c r="M53" s="70"/>
    </row>
    <row r="54" spans="1:13" ht="17.600000000000001" x14ac:dyDescent="0.4">
      <c r="B54" s="501" t="s">
        <v>421</v>
      </c>
      <c r="C54" s="501"/>
      <c r="D54" s="501"/>
      <c r="E54" s="501"/>
      <c r="F54" s="501"/>
      <c r="G54" s="501"/>
      <c r="H54" s="501"/>
      <c r="K54" s="70"/>
      <c r="L54" s="70"/>
      <c r="M54" s="70"/>
    </row>
    <row r="55" spans="1:13" ht="17.600000000000001" x14ac:dyDescent="0.4">
      <c r="B55" s="403"/>
      <c r="C55" s="56"/>
      <c r="D55" s="56"/>
      <c r="E55" s="56"/>
      <c r="F55" s="56"/>
      <c r="G55" s="56"/>
      <c r="H55" s="56"/>
      <c r="I55" s="401"/>
      <c r="K55" s="70"/>
      <c r="L55" s="70"/>
      <c r="M55" s="70"/>
    </row>
    <row r="56" spans="1:13" ht="15.45" x14ac:dyDescent="0.4">
      <c r="B56" s="3" t="s">
        <v>414</v>
      </c>
      <c r="C56" s="502"/>
      <c r="D56" s="503"/>
      <c r="E56" s="503"/>
      <c r="F56" s="503"/>
      <c r="G56" s="503"/>
      <c r="H56" s="504"/>
      <c r="K56" s="70"/>
      <c r="L56" s="70"/>
      <c r="M56" s="70"/>
    </row>
    <row r="57" spans="1:13" ht="15.45" x14ac:dyDescent="0.4">
      <c r="B57" s="3"/>
      <c r="C57" s="407"/>
      <c r="D57" s="408"/>
      <c r="E57" s="408"/>
      <c r="F57" s="408"/>
      <c r="G57" s="408"/>
      <c r="H57" s="408"/>
      <c r="K57" s="70"/>
      <c r="L57" s="70"/>
      <c r="M57" s="70"/>
    </row>
    <row r="58" spans="1:13" ht="15.45" x14ac:dyDescent="0.4">
      <c r="B58" s="3" t="s">
        <v>137</v>
      </c>
      <c r="C58" s="349"/>
      <c r="D58" s="355">
        <f>D7</f>
        <v>96</v>
      </c>
      <c r="E58" s="3" t="s">
        <v>415</v>
      </c>
      <c r="F58" s="409"/>
      <c r="G58" s="409"/>
      <c r="H58" s="410" t="s">
        <v>75</v>
      </c>
      <c r="I58" s="22"/>
      <c r="K58" s="70"/>
      <c r="L58" s="70"/>
      <c r="M58" s="70"/>
    </row>
    <row r="59" spans="1:13" ht="15.45" x14ac:dyDescent="0.4">
      <c r="B59" s="3"/>
      <c r="C59" s="92"/>
      <c r="D59" s="98"/>
      <c r="E59" s="2"/>
      <c r="F59" s="316"/>
      <c r="G59" s="316"/>
      <c r="H59" s="273"/>
      <c r="I59" s="22"/>
      <c r="K59" s="70"/>
      <c r="L59" s="70"/>
      <c r="M59" s="70"/>
    </row>
    <row r="60" spans="1:13" ht="15.45" x14ac:dyDescent="0.4">
      <c r="B60" s="3" t="s">
        <v>110</v>
      </c>
      <c r="D60" s="356">
        <v>90</v>
      </c>
      <c r="E60" s="402" t="s">
        <v>6</v>
      </c>
      <c r="F60" s="316"/>
      <c r="G60" s="316"/>
      <c r="I60" s="411"/>
      <c r="J60" s="2"/>
      <c r="K60" s="70"/>
      <c r="L60" s="70"/>
      <c r="M60" s="70"/>
    </row>
    <row r="61" spans="1:13" ht="15" x14ac:dyDescent="0.35">
      <c r="B61" s="2" t="s">
        <v>343</v>
      </c>
      <c r="D61" s="356">
        <v>55</v>
      </c>
      <c r="E61" s="402" t="s">
        <v>6</v>
      </c>
      <c r="F61" s="316"/>
      <c r="G61" s="316"/>
      <c r="I61" s="411"/>
      <c r="J61" s="2"/>
      <c r="K61" s="70"/>
      <c r="L61" s="70"/>
      <c r="M61" s="70"/>
    </row>
    <row r="62" spans="1:13" ht="15" x14ac:dyDescent="0.35">
      <c r="B62" s="2" t="s">
        <v>500</v>
      </c>
      <c r="D62" s="356">
        <v>90</v>
      </c>
      <c r="E62" s="402" t="s">
        <v>6</v>
      </c>
      <c r="J62" s="2"/>
      <c r="K62" s="70"/>
      <c r="L62" s="70"/>
      <c r="M62" s="70"/>
    </row>
    <row r="63" spans="1:13" ht="15.45" x14ac:dyDescent="0.4">
      <c r="B63" s="75" t="s">
        <v>498</v>
      </c>
      <c r="D63" s="476">
        <f>D61*D62*0.01</f>
        <v>49.5</v>
      </c>
      <c r="E63" s="454" t="s">
        <v>6</v>
      </c>
      <c r="J63" s="2"/>
      <c r="K63" s="70"/>
      <c r="L63" s="70"/>
      <c r="M63" s="70"/>
    </row>
    <row r="64" spans="1:13" ht="15" x14ac:dyDescent="0.35">
      <c r="B64" s="2" t="s">
        <v>416</v>
      </c>
      <c r="D64" s="356">
        <v>90</v>
      </c>
      <c r="E64" s="402" t="s">
        <v>6</v>
      </c>
      <c r="K64" s="70"/>
      <c r="L64" s="70"/>
      <c r="M64" s="70"/>
    </row>
    <row r="65" spans="2:13" ht="15.45" x14ac:dyDescent="0.4">
      <c r="B65" s="75" t="s">
        <v>77</v>
      </c>
      <c r="D65" s="69" t="s">
        <v>538</v>
      </c>
      <c r="E65" s="69"/>
      <c r="F65" s="69" t="s">
        <v>78</v>
      </c>
      <c r="J65" s="30"/>
      <c r="K65" s="70"/>
      <c r="L65" s="70"/>
      <c r="M65" s="70"/>
    </row>
    <row r="66" spans="2:13" ht="15" x14ac:dyDescent="0.35">
      <c r="B66" s="2" t="s">
        <v>417</v>
      </c>
      <c r="D66" s="98">
        <f>D7</f>
        <v>96</v>
      </c>
      <c r="E66" s="7"/>
      <c r="F66" s="7">
        <f>D66-D71</f>
        <v>48.48</v>
      </c>
      <c r="H66" s="2"/>
      <c r="K66" s="70"/>
      <c r="L66" s="70"/>
      <c r="M66" s="70"/>
    </row>
    <row r="67" spans="2:13" ht="15" x14ac:dyDescent="0.35">
      <c r="D67" s="98">
        <f>D64*D61*0.01</f>
        <v>49.5</v>
      </c>
      <c r="E67" s="357"/>
      <c r="F67" s="358">
        <f>(((D66*D60*0.01)-D71)/(D66-D71))*100</f>
        <v>80.198019801980209</v>
      </c>
      <c r="I67" s="7"/>
      <c r="J67" s="2"/>
      <c r="K67" s="70"/>
      <c r="L67" s="70"/>
      <c r="M67" s="70"/>
    </row>
    <row r="68" spans="2:13" ht="15.45" x14ac:dyDescent="0.4">
      <c r="B68" s="2"/>
      <c r="C68" s="2"/>
      <c r="D68" s="110" t="s">
        <v>537</v>
      </c>
      <c r="E68" s="359"/>
      <c r="F68" s="110" t="s">
        <v>79</v>
      </c>
      <c r="G68" s="110" t="s">
        <v>80</v>
      </c>
      <c r="H68" s="110" t="s">
        <v>344</v>
      </c>
      <c r="K68" s="70"/>
      <c r="L68" s="70"/>
      <c r="M68" s="70"/>
    </row>
    <row r="69" spans="2:13" ht="15.45" x14ac:dyDescent="0.4">
      <c r="B69" s="2" t="s">
        <v>418</v>
      </c>
      <c r="C69" s="2" t="s">
        <v>81</v>
      </c>
      <c r="D69" s="7">
        <f>IF($H$36="Bull",($D67*0.01*$D64*0.01*$D66),($D67*0.01*(100-$D64)*0.01*$D66))</f>
        <v>4.7520000000000007</v>
      </c>
      <c r="E69" s="7"/>
      <c r="F69" s="7">
        <f>(F66)*0.5*0.01*F67</f>
        <v>19.440000000000001</v>
      </c>
      <c r="G69" s="7">
        <f>D69+F69</f>
        <v>24.192</v>
      </c>
      <c r="H69" s="111">
        <f>IF(G71=0,0,G69/$G71)</f>
        <v>0.27999999999999997</v>
      </c>
      <c r="K69" s="70"/>
      <c r="L69" s="70"/>
      <c r="M69" s="70"/>
    </row>
    <row r="70" spans="2:13" ht="15.45" x14ac:dyDescent="0.4">
      <c r="B70" s="2"/>
      <c r="C70" s="2" t="s">
        <v>75</v>
      </c>
      <c r="D70" s="7">
        <f>IF($H58="Heifer",($D67*0.01*$D64*0.01*$D66),($D67*0.01*(100-$D64)*0.01*$D66))</f>
        <v>42.768000000000001</v>
      </c>
      <c r="E70" s="7"/>
      <c r="F70" s="7">
        <f>(F66*0.5*0.01*F67)</f>
        <v>19.440000000000001</v>
      </c>
      <c r="G70" s="7">
        <f>D70+F70</f>
        <v>62.207999999999998</v>
      </c>
      <c r="H70" s="111">
        <f>IF(G71=0,0,G70/$G71)</f>
        <v>0.72</v>
      </c>
      <c r="K70" s="70"/>
      <c r="L70" s="70"/>
      <c r="M70" s="70"/>
    </row>
    <row r="71" spans="2:13" ht="15.45" x14ac:dyDescent="0.4">
      <c r="B71" s="2"/>
      <c r="C71" s="3" t="s">
        <v>80</v>
      </c>
      <c r="D71" s="38">
        <f>D69+D70</f>
        <v>47.52</v>
      </c>
      <c r="E71" s="38"/>
      <c r="F71" s="38">
        <f>F69+F70</f>
        <v>38.880000000000003</v>
      </c>
      <c r="G71" s="38">
        <f>G69+G70</f>
        <v>86.4</v>
      </c>
      <c r="H71" s="61"/>
      <c r="K71" s="70"/>
      <c r="L71" s="70"/>
      <c r="M71" s="70"/>
    </row>
    <row r="72" spans="2:13" ht="15.45" x14ac:dyDescent="0.4">
      <c r="B72" s="79"/>
      <c r="C72" s="79"/>
      <c r="D72" s="80"/>
      <c r="E72" s="412" t="s">
        <v>419</v>
      </c>
      <c r="G72" s="81" t="s">
        <v>345</v>
      </c>
      <c r="H72" s="81" t="s">
        <v>82</v>
      </c>
      <c r="I72" t="s">
        <v>346</v>
      </c>
      <c r="J72" s="414"/>
      <c r="K72" s="70"/>
      <c r="L72" s="70"/>
      <c r="M72" s="70"/>
    </row>
    <row r="73" spans="2:13" ht="15.45" x14ac:dyDescent="0.4">
      <c r="B73" s="85" t="s">
        <v>347</v>
      </c>
      <c r="C73" s="79"/>
      <c r="D73" s="38">
        <f>D71</f>
        <v>47.52</v>
      </c>
      <c r="E73" s="111">
        <f>D71/G71</f>
        <v>0.55000000000000004</v>
      </c>
      <c r="G73" s="38">
        <f>G71</f>
        <v>86.4</v>
      </c>
      <c r="H73" s="82">
        <f>G71/D66</f>
        <v>0.9</v>
      </c>
      <c r="I73" s="7">
        <f>$D$7-G73</f>
        <v>9.5999999999999943</v>
      </c>
      <c r="J73" s="368"/>
      <c r="K73" s="70"/>
      <c r="L73" s="70"/>
      <c r="M73" s="70"/>
    </row>
    <row r="74" spans="2:13" ht="15" x14ac:dyDescent="0.35">
      <c r="B74" s="413" t="s">
        <v>420</v>
      </c>
      <c r="C74" s="86"/>
      <c r="D74" s="86"/>
      <c r="E74" s="86"/>
      <c r="F74" s="86"/>
      <c r="G74" s="86"/>
      <c r="H74" s="86"/>
      <c r="I74" s="86"/>
      <c r="J74" s="360"/>
      <c r="K74" s="70"/>
      <c r="L74" s="70"/>
      <c r="M74" s="70"/>
    </row>
    <row r="75" spans="2:13" ht="15" x14ac:dyDescent="0.35">
      <c r="B75" s="86"/>
      <c r="C75" s="86"/>
      <c r="D75" s="86"/>
      <c r="E75" s="86"/>
      <c r="F75" s="86"/>
      <c r="G75" s="86"/>
      <c r="H75" s="86"/>
      <c r="I75" s="360"/>
      <c r="J75" s="70"/>
      <c r="K75" s="70"/>
      <c r="L75" s="70"/>
      <c r="M75" s="70"/>
    </row>
    <row r="76" spans="2:13" ht="15.45" x14ac:dyDescent="0.4">
      <c r="B76" s="3" t="s">
        <v>137</v>
      </c>
      <c r="C76" s="87">
        <f>D7</f>
        <v>96</v>
      </c>
      <c r="D76" s="354" t="s">
        <v>85</v>
      </c>
      <c r="E76" s="87"/>
      <c r="F76" s="137" t="s">
        <v>169</v>
      </c>
      <c r="G76" s="354" t="s">
        <v>6</v>
      </c>
      <c r="H76" s="354" t="s">
        <v>80</v>
      </c>
      <c r="I76" s="327"/>
      <c r="J76" s="70"/>
      <c r="K76" s="70"/>
      <c r="L76" s="70"/>
      <c r="M76" s="70"/>
    </row>
    <row r="77" spans="2:13" ht="15.45" x14ac:dyDescent="0.4">
      <c r="B77" s="361" t="s">
        <v>348</v>
      </c>
      <c r="C77" s="88" t="s">
        <v>86</v>
      </c>
      <c r="D77" s="354" t="s">
        <v>86</v>
      </c>
      <c r="E77" s="89" t="s">
        <v>87</v>
      </c>
      <c r="F77" s="354" t="s">
        <v>75</v>
      </c>
      <c r="G77" s="354" t="s">
        <v>89</v>
      </c>
      <c r="H77" s="354" t="s">
        <v>306</v>
      </c>
      <c r="I77" s="327"/>
      <c r="K77" s="70"/>
      <c r="L77" s="70"/>
      <c r="M77" s="70"/>
    </row>
    <row r="78" spans="2:13" ht="15" x14ac:dyDescent="0.35">
      <c r="B78" s="482" t="s">
        <v>349</v>
      </c>
      <c r="C78" s="9" t="s">
        <v>21</v>
      </c>
      <c r="D78" s="53">
        <f t="shared" ref="D78:D85" si="6">$C$25</f>
        <v>96</v>
      </c>
      <c r="E78" s="9">
        <v>5</v>
      </c>
      <c r="F78" s="90">
        <f>IF($C$25=0,0,H78/$C$25)</f>
        <v>5</v>
      </c>
      <c r="G78" s="61">
        <f t="shared" ref="G78:G85" si="7">IF(H78=0," ",IF($H$43=0,0,H78/$H$99))</f>
        <v>4.4506258692628649E-2</v>
      </c>
      <c r="H78" s="91">
        <f>IF($C$25=0,0,D78*E78)</f>
        <v>480</v>
      </c>
      <c r="I78" s="327"/>
      <c r="J78" s="83"/>
      <c r="K78" s="70"/>
      <c r="L78" s="70"/>
      <c r="M78" s="70"/>
    </row>
    <row r="79" spans="2:13" ht="15" x14ac:dyDescent="0.35">
      <c r="B79" s="9" t="s">
        <v>540</v>
      </c>
      <c r="C79" s="9" t="s">
        <v>21</v>
      </c>
      <c r="D79" s="53">
        <f t="shared" si="6"/>
        <v>96</v>
      </c>
      <c r="E79" s="9">
        <v>10</v>
      </c>
      <c r="F79" s="90">
        <f t="shared" ref="F79:F80" si="8">IF($C$25=0,0,H79/$C$25)</f>
        <v>10</v>
      </c>
      <c r="G79" s="61">
        <f t="shared" si="7"/>
        <v>8.9012517385257298E-2</v>
      </c>
      <c r="H79" s="91">
        <f t="shared" ref="H79:H80" si="9">IF($C$25=0,0,D79*E79)</f>
        <v>960</v>
      </c>
      <c r="I79" s="327"/>
      <c r="J79" s="83"/>
      <c r="K79" s="70"/>
      <c r="L79" s="70"/>
      <c r="M79" s="70"/>
    </row>
    <row r="80" spans="2:13" ht="15.45" x14ac:dyDescent="0.4">
      <c r="B80" s="9" t="s">
        <v>541</v>
      </c>
      <c r="C80" s="9" t="s">
        <v>21</v>
      </c>
      <c r="D80" s="53">
        <f t="shared" si="6"/>
        <v>96</v>
      </c>
      <c r="E80" s="9">
        <v>8</v>
      </c>
      <c r="F80" s="90">
        <f t="shared" si="8"/>
        <v>8</v>
      </c>
      <c r="G80" s="61">
        <f t="shared" si="7"/>
        <v>7.1210013908205846E-2</v>
      </c>
      <c r="H80" s="91">
        <f t="shared" si="9"/>
        <v>768</v>
      </c>
      <c r="J80" s="109" t="s">
        <v>94</v>
      </c>
      <c r="K80" s="100">
        <f>'2.WeanedCalf to Sell Bred Heif '!E17</f>
        <v>96</v>
      </c>
      <c r="L80" s="70"/>
      <c r="M80" s="70"/>
    </row>
    <row r="81" spans="2:13" ht="15.45" x14ac:dyDescent="0.4">
      <c r="B81" s="348" t="s">
        <v>92</v>
      </c>
      <c r="C81" s="9" t="s">
        <v>21</v>
      </c>
      <c r="D81" s="53">
        <f t="shared" si="6"/>
        <v>96</v>
      </c>
      <c r="E81" s="211">
        <v>0</v>
      </c>
      <c r="F81" s="90">
        <f>IF($C$25=0,0,H81/$C$25)</f>
        <v>0</v>
      </c>
      <c r="G81" s="61" t="str">
        <f t="shared" si="7"/>
        <v xml:space="preserve"> </v>
      </c>
      <c r="H81" s="91">
        <f>IF($C$25=0,0,D81*E81)</f>
        <v>0</v>
      </c>
      <c r="J81" s="109" t="s">
        <v>350</v>
      </c>
      <c r="K81" s="100">
        <f>'6. Bull Cost'!$G$4</f>
        <v>2</v>
      </c>
      <c r="L81" s="70"/>
      <c r="M81" s="70"/>
    </row>
    <row r="82" spans="2:13" ht="15.45" x14ac:dyDescent="0.4">
      <c r="B82" s="9" t="s">
        <v>92</v>
      </c>
      <c r="C82" s="9" t="s">
        <v>21</v>
      </c>
      <c r="D82" s="53">
        <f t="shared" si="6"/>
        <v>96</v>
      </c>
      <c r="E82" s="211">
        <v>0</v>
      </c>
      <c r="F82" s="90">
        <f t="shared" ref="F82:F85" si="10">IF($C$25=0,0,H82/$C$25)</f>
        <v>0</v>
      </c>
      <c r="G82" s="61" t="str">
        <f t="shared" si="7"/>
        <v xml:space="preserve"> </v>
      </c>
      <c r="H82" s="91">
        <f t="shared" ref="H82:H85" si="11">IF($C$25=0,0,D82*E82)</f>
        <v>0</v>
      </c>
      <c r="J82" s="109" t="s">
        <v>221</v>
      </c>
      <c r="K82" s="96">
        <f>'6. Bull Cost'!H32</f>
        <v>33.958333333333336</v>
      </c>
      <c r="L82" s="70"/>
      <c r="M82" s="70"/>
    </row>
    <row r="83" spans="2:13" ht="15.45" x14ac:dyDescent="0.4">
      <c r="B83" s="9" t="s">
        <v>92</v>
      </c>
      <c r="C83" s="9" t="s">
        <v>21</v>
      </c>
      <c r="D83" s="53">
        <f t="shared" si="6"/>
        <v>96</v>
      </c>
      <c r="E83" s="211">
        <v>0</v>
      </c>
      <c r="F83" s="90">
        <f t="shared" si="10"/>
        <v>0</v>
      </c>
      <c r="G83" s="61" t="str">
        <f t="shared" si="7"/>
        <v xml:space="preserve"> </v>
      </c>
      <c r="H83" s="91">
        <f t="shared" si="11"/>
        <v>0</v>
      </c>
      <c r="J83" s="109" t="s">
        <v>212</v>
      </c>
      <c r="K83" s="374">
        <f>'6. Bull Cost'!H34</f>
        <v>3.09375</v>
      </c>
      <c r="L83" s="327" t="s">
        <v>352</v>
      </c>
      <c r="M83" s="70"/>
    </row>
    <row r="84" spans="2:13" ht="15.45" x14ac:dyDescent="0.4">
      <c r="B84" s="9" t="s">
        <v>92</v>
      </c>
      <c r="C84" s="9" t="s">
        <v>21</v>
      </c>
      <c r="D84" s="53">
        <f t="shared" si="6"/>
        <v>96</v>
      </c>
      <c r="E84" s="211">
        <v>0</v>
      </c>
      <c r="F84" s="90">
        <f t="shared" si="10"/>
        <v>0</v>
      </c>
      <c r="G84" s="61" t="str">
        <f t="shared" si="7"/>
        <v xml:space="preserve"> </v>
      </c>
      <c r="H84" s="91">
        <f t="shared" si="11"/>
        <v>0</v>
      </c>
      <c r="J84" s="109" t="s">
        <v>80</v>
      </c>
      <c r="K84" s="96">
        <f>K82+K83</f>
        <v>37.052083333333336</v>
      </c>
      <c r="L84" s="70"/>
      <c r="M84" s="70"/>
    </row>
    <row r="85" spans="2:13" ht="15" x14ac:dyDescent="0.35">
      <c r="B85" s="9" t="s">
        <v>92</v>
      </c>
      <c r="C85" s="9" t="s">
        <v>21</v>
      </c>
      <c r="D85" s="53">
        <f t="shared" si="6"/>
        <v>96</v>
      </c>
      <c r="E85" s="211">
        <v>0</v>
      </c>
      <c r="F85" s="90">
        <f t="shared" si="10"/>
        <v>0</v>
      </c>
      <c r="G85" s="61" t="str">
        <f t="shared" si="7"/>
        <v xml:space="preserve"> </v>
      </c>
      <c r="H85" s="91">
        <f t="shared" si="11"/>
        <v>0</v>
      </c>
      <c r="M85" s="70"/>
    </row>
    <row r="86" spans="2:13" ht="15" x14ac:dyDescent="0.35">
      <c r="B86" s="2" t="s">
        <v>172</v>
      </c>
      <c r="C86" s="9" t="s">
        <v>353</v>
      </c>
      <c r="D86" s="15">
        <v>4</v>
      </c>
      <c r="M86" s="70"/>
    </row>
    <row r="87" spans="2:13" ht="15" x14ac:dyDescent="0.35">
      <c r="B87" s="92" t="s">
        <v>173</v>
      </c>
      <c r="C87" s="92" t="s">
        <v>21</v>
      </c>
      <c r="D87" s="362">
        <f>$C$25*D86</f>
        <v>384</v>
      </c>
      <c r="E87" s="9">
        <v>3</v>
      </c>
      <c r="F87" s="90">
        <f t="shared" ref="F87" si="12">IF($C$25=0,0,H87/$C$25)</f>
        <v>12</v>
      </c>
      <c r="G87" s="61">
        <f t="shared" ref="G87:G93" si="13">IF(H87=0," ",IF($H$43=0,0,H87/$H$99))</f>
        <v>0.10681502086230876</v>
      </c>
      <c r="H87" s="91">
        <f t="shared" ref="H87" si="14">IF($C$25=0,0,D87*E87)</f>
        <v>1152</v>
      </c>
      <c r="M87" s="70"/>
    </row>
    <row r="88" spans="2:13" ht="15" x14ac:dyDescent="0.35">
      <c r="B88" s="2" t="s">
        <v>355</v>
      </c>
      <c r="C88" s="92" t="s">
        <v>90</v>
      </c>
      <c r="D88" s="53">
        <f t="shared" ref="D88:D92" si="15">$C$25</f>
        <v>96</v>
      </c>
      <c r="E88" s="9">
        <v>8</v>
      </c>
      <c r="F88" s="90">
        <f>IF($C$25=0,0,H88/$C$25)</f>
        <v>8</v>
      </c>
      <c r="G88" s="61">
        <f t="shared" si="13"/>
        <v>7.1210013908205846E-2</v>
      </c>
      <c r="H88" s="91">
        <f>IF($C$25=0,0,D88*E88)</f>
        <v>768</v>
      </c>
    </row>
    <row r="89" spans="2:13" ht="15" x14ac:dyDescent="0.35">
      <c r="B89" s="2" t="s">
        <v>542</v>
      </c>
      <c r="C89" s="92" t="s">
        <v>543</v>
      </c>
      <c r="D89" s="15">
        <v>2</v>
      </c>
      <c r="E89" s="9">
        <v>110</v>
      </c>
      <c r="F89" s="90">
        <f>IF($C$25=0,0,H89/$C$25)</f>
        <v>2.2916666666666665</v>
      </c>
      <c r="G89" s="61">
        <f t="shared" ref="G89" si="16">IF(H89=0," ",IF($H$43=0,0,H89/$H$99))</f>
        <v>2.0398701900788133E-2</v>
      </c>
      <c r="H89" s="91">
        <f>IF($C$25=0,0,D89*E89)</f>
        <v>220</v>
      </c>
    </row>
    <row r="90" spans="2:13" ht="15" x14ac:dyDescent="0.35">
      <c r="B90" s="92" t="s">
        <v>91</v>
      </c>
      <c r="C90" s="92" t="s">
        <v>21</v>
      </c>
      <c r="D90" s="53">
        <f t="shared" si="15"/>
        <v>96</v>
      </c>
      <c r="E90" s="9">
        <v>5</v>
      </c>
      <c r="F90" s="90">
        <f t="shared" ref="F90:F92" si="17">IF($C$25=0,0,H90/$C$25)</f>
        <v>5</v>
      </c>
      <c r="G90" s="61">
        <f t="shared" si="13"/>
        <v>4.4506258692628649E-2</v>
      </c>
      <c r="H90" s="91">
        <f t="shared" ref="H90:H91" si="18">IF($C$25=0,0,D90*E90)</f>
        <v>480</v>
      </c>
    </row>
    <row r="91" spans="2:13" ht="15" x14ac:dyDescent="0.35">
      <c r="B91" s="9" t="s">
        <v>92</v>
      </c>
      <c r="C91" s="9" t="s">
        <v>21</v>
      </c>
      <c r="D91" s="53">
        <f t="shared" si="15"/>
        <v>96</v>
      </c>
      <c r="E91" s="9">
        <v>0</v>
      </c>
      <c r="F91" s="90">
        <f t="shared" si="17"/>
        <v>0</v>
      </c>
      <c r="G91" s="61" t="str">
        <f t="shared" si="13"/>
        <v xml:space="preserve"> </v>
      </c>
      <c r="H91" s="91">
        <f t="shared" si="18"/>
        <v>0</v>
      </c>
    </row>
    <row r="92" spans="2:13" ht="15" x14ac:dyDescent="0.35">
      <c r="B92" s="79" t="s">
        <v>422</v>
      </c>
      <c r="C92" s="92" t="s">
        <v>93</v>
      </c>
      <c r="D92" s="53">
        <f t="shared" si="15"/>
        <v>96</v>
      </c>
      <c r="E92" s="99">
        <f>E42</f>
        <v>25</v>
      </c>
      <c r="F92" s="90">
        <f t="shared" si="17"/>
        <v>25</v>
      </c>
      <c r="G92" s="61">
        <f t="shared" si="13"/>
        <v>0.22253129346314326</v>
      </c>
      <c r="H92" s="91">
        <f>IF($C$25=0,0,D92*E92)</f>
        <v>2400</v>
      </c>
    </row>
    <row r="93" spans="2:13" ht="15.45" x14ac:dyDescent="0.4">
      <c r="B93" s="93" t="s">
        <v>356</v>
      </c>
      <c r="C93" s="94">
        <f>C76</f>
        <v>96</v>
      </c>
      <c r="D93" s="95"/>
      <c r="E93" s="96"/>
      <c r="F93" s="96">
        <f>SUM(F78:F92)</f>
        <v>75.291666666666657</v>
      </c>
      <c r="G93" s="111">
        <f t="shared" si="13"/>
        <v>0.67019007881316639</v>
      </c>
      <c r="H93" s="97">
        <f>SUM(H78:H92)</f>
        <v>7228</v>
      </c>
      <c r="I93" s="327"/>
      <c r="J93" s="83"/>
      <c r="K93" s="70"/>
      <c r="L93" s="70"/>
      <c r="M93" s="70"/>
    </row>
    <row r="94" spans="2:13" ht="15.45" x14ac:dyDescent="0.4">
      <c r="B94" s="93"/>
      <c r="C94" s="83"/>
      <c r="D94" s="72"/>
      <c r="E94" s="72"/>
      <c r="G94" s="72"/>
      <c r="H94" s="101"/>
      <c r="M94" s="70"/>
    </row>
    <row r="95" spans="2:13" ht="15.45" x14ac:dyDescent="0.4">
      <c r="B95" s="102"/>
      <c r="C95" s="69" t="s">
        <v>21</v>
      </c>
      <c r="D95" s="72" t="s">
        <v>357</v>
      </c>
      <c r="E95" s="72" t="s">
        <v>358</v>
      </c>
      <c r="F95" s="2"/>
      <c r="H95" s="69"/>
      <c r="M95" s="70"/>
    </row>
    <row r="96" spans="2:13" ht="15.45" x14ac:dyDescent="0.4">
      <c r="B96" s="93" t="s">
        <v>359</v>
      </c>
      <c r="C96" s="103">
        <f>C93</f>
        <v>96</v>
      </c>
      <c r="D96" s="188">
        <f>C96/E96</f>
        <v>48</v>
      </c>
      <c r="E96" s="343">
        <f>K81</f>
        <v>2</v>
      </c>
      <c r="F96" s="163">
        <f>K84</f>
        <v>37.052083333333336</v>
      </c>
      <c r="G96" s="111">
        <f>IF(H96=0," ",IF($H$43=0,0,H96/$H$99))</f>
        <v>0.32980992118683355</v>
      </c>
      <c r="H96" s="105">
        <f>C96*F96</f>
        <v>3557</v>
      </c>
      <c r="M96" s="70"/>
    </row>
    <row r="97" spans="1:13" ht="15.45" x14ac:dyDescent="0.4">
      <c r="B97" s="93"/>
      <c r="C97" s="103"/>
      <c r="D97" s="103"/>
      <c r="E97" s="106"/>
      <c r="G97" s="104"/>
      <c r="H97" s="105"/>
      <c r="J97" s="83"/>
      <c r="K97" s="70"/>
      <c r="L97" s="70"/>
      <c r="M97" s="70"/>
    </row>
    <row r="98" spans="1:13" ht="15.45" x14ac:dyDescent="0.4">
      <c r="B98" s="75" t="s">
        <v>360</v>
      </c>
      <c r="C98" s="83"/>
      <c r="D98" s="75" t="s">
        <v>96</v>
      </c>
      <c r="E98" s="83"/>
      <c r="F98" s="69" t="s">
        <v>1</v>
      </c>
      <c r="H98" s="69"/>
      <c r="I98" s="327"/>
      <c r="J98" s="363"/>
      <c r="K98" s="364"/>
      <c r="L98" s="70"/>
      <c r="M98" s="70"/>
    </row>
    <row r="99" spans="1:13" ht="15.45" x14ac:dyDescent="0.4">
      <c r="B99" s="225" t="s">
        <v>361</v>
      </c>
      <c r="C99" s="365"/>
      <c r="D99" s="366">
        <f>C96</f>
        <v>96</v>
      </c>
      <c r="E99" s="334"/>
      <c r="F99" s="367">
        <f>H99/D99</f>
        <v>112.34375</v>
      </c>
      <c r="G99" s="334"/>
      <c r="H99" s="335">
        <f>H93+H96</f>
        <v>10785</v>
      </c>
      <c r="I99" s="327"/>
      <c r="J99" s="363"/>
      <c r="K99" s="364"/>
      <c r="L99" s="70"/>
      <c r="M99" s="70"/>
    </row>
    <row r="100" spans="1:13" ht="15" x14ac:dyDescent="0.35">
      <c r="B100" s="79"/>
      <c r="C100" s="22"/>
      <c r="D100" s="79"/>
      <c r="E100" s="79"/>
      <c r="G100" s="107"/>
      <c r="I100" s="368"/>
      <c r="J100" s="70"/>
      <c r="K100" s="70"/>
      <c r="L100" s="70"/>
      <c r="M100" s="70"/>
    </row>
    <row r="101" spans="1:13" ht="15.45" x14ac:dyDescent="0.4">
      <c r="B101" s="369" t="s">
        <v>362</v>
      </c>
      <c r="C101" s="145"/>
      <c r="D101" s="370">
        <f>G73</f>
        <v>86.4</v>
      </c>
      <c r="E101" s="369"/>
      <c r="F101" s="174"/>
      <c r="G101" s="371">
        <f>H99/D101</f>
        <v>124.82638888888889</v>
      </c>
      <c r="I101" s="108"/>
      <c r="J101" s="109"/>
      <c r="K101" s="70"/>
      <c r="L101" s="70"/>
      <c r="M101" s="70"/>
    </row>
    <row r="102" spans="1:13" ht="15.45" x14ac:dyDescent="0.4">
      <c r="A102" s="70"/>
      <c r="B102" s="85" t="s">
        <v>364</v>
      </c>
      <c r="C102" s="109"/>
      <c r="D102" s="372"/>
      <c r="E102" s="85"/>
      <c r="F102" s="70"/>
      <c r="G102" s="373"/>
      <c r="H102" s="70"/>
      <c r="I102" s="108"/>
      <c r="J102" s="109"/>
      <c r="K102" s="70"/>
      <c r="L102" s="70"/>
      <c r="M102" s="70"/>
    </row>
    <row r="103" spans="1:13" x14ac:dyDescent="0.3">
      <c r="B103" s="22" t="s">
        <v>363</v>
      </c>
    </row>
  </sheetData>
  <sheetProtection sheet="1" objects="1" scenarios="1"/>
  <mergeCells count="5">
    <mergeCell ref="B1:H1"/>
    <mergeCell ref="B3:H3"/>
    <mergeCell ref="C5:H5"/>
    <mergeCell ref="B54:H54"/>
    <mergeCell ref="C56:H56"/>
  </mergeCells>
  <pageMargins left="0.95" right="0.45" top="0.75" bottom="0.75" header="0.3" footer="0.3"/>
  <pageSetup scale="76" orientation="portrait" horizontalDpi="4294967295" verticalDpi="4294967295" r:id="rId1"/>
  <headerFooter>
    <oddFooter>&amp;L&amp;F&amp;R&amp;A
Page &amp;P of &amp;N</oddFooter>
  </headerFooter>
  <rowBreaks count="1" manualBreakCount="1">
    <brk id="52" min="1" max="7" man="1"/>
  </rowBreaks>
  <ignoredErrors>
    <ignoredError sqref="G43 G9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70"/>
  <sheetViews>
    <sheetView topLeftCell="A5" workbookViewId="0">
      <selection activeCell="E28" sqref="E28"/>
    </sheetView>
  </sheetViews>
  <sheetFormatPr defaultRowHeight="12.45" x14ac:dyDescent="0.3"/>
  <cols>
    <col min="1" max="1" width="4.69140625" customWidth="1"/>
    <col min="2" max="2" width="50.84375" customWidth="1"/>
    <col min="3" max="3" width="12.84375" customWidth="1"/>
    <col min="4" max="4" width="14.23046875" customWidth="1"/>
    <col min="5" max="5" width="19" customWidth="1"/>
    <col min="6" max="6" width="14.15234375" customWidth="1"/>
    <col min="7" max="7" width="8.15234375" customWidth="1"/>
    <col min="8" max="8" width="12.69140625" customWidth="1"/>
  </cols>
  <sheetData>
    <row r="1" spans="2:9" ht="17.600000000000001" x14ac:dyDescent="0.4">
      <c r="B1" s="501" t="s">
        <v>323</v>
      </c>
      <c r="C1" s="505"/>
      <c r="D1" s="505"/>
      <c r="E1" s="505"/>
      <c r="F1" s="505"/>
      <c r="G1" s="505"/>
    </row>
    <row r="3" spans="2:9" ht="15.45" x14ac:dyDescent="0.4">
      <c r="B3" s="485" t="str">
        <f>'2.WeanedCalf to Sell Bred Heif '!C3</f>
        <v>Angus heifers bred to Hereford bulls</v>
      </c>
      <c r="C3" s="486"/>
      <c r="D3" s="486"/>
      <c r="E3" s="478" t="str">
        <f>IF('2.WeanedCalf to Sell Bred Heif '!E5=2,"Natural Service - Ignore Report", "  ")</f>
        <v xml:space="preserve">  </v>
      </c>
    </row>
    <row r="4" spans="2:9" ht="15.45" x14ac:dyDescent="0.4">
      <c r="B4" s="187"/>
      <c r="D4" s="177"/>
      <c r="E4" s="478"/>
      <c r="F4" s="177"/>
      <c r="G4" s="177"/>
      <c r="H4" s="177"/>
      <c r="I4" s="66"/>
    </row>
    <row r="5" spans="2:9" ht="15.45" x14ac:dyDescent="0.4">
      <c r="B5" s="3" t="s">
        <v>137</v>
      </c>
      <c r="C5" s="190" t="s">
        <v>21</v>
      </c>
      <c r="D5" s="185">
        <f>'2.WeanedCalf to Sell Bred Heif '!E17</f>
        <v>96</v>
      </c>
      <c r="F5" s="74"/>
      <c r="G5" s="74"/>
      <c r="H5" s="74"/>
      <c r="I5" s="66"/>
    </row>
    <row r="6" spans="2:9" ht="15.45" x14ac:dyDescent="0.4">
      <c r="B6" s="3" t="s">
        <v>110</v>
      </c>
      <c r="C6" s="6" t="s">
        <v>6</v>
      </c>
      <c r="D6" s="188">
        <f>'4.SexedSemen AI BreedingCost'!D9</f>
        <v>90</v>
      </c>
      <c r="E6" s="74"/>
      <c r="F6" s="74"/>
      <c r="G6" s="74"/>
      <c r="H6" s="74"/>
      <c r="I6" s="66"/>
    </row>
    <row r="7" spans="2:9" ht="15" x14ac:dyDescent="0.35">
      <c r="B7" s="2" t="s">
        <v>155</v>
      </c>
      <c r="C7" s="6" t="s">
        <v>6</v>
      </c>
      <c r="D7" s="415">
        <f>'4.SexedSemen AI BreedingCost'!D10*0.01</f>
        <v>0.6</v>
      </c>
      <c r="E7" s="177" t="str">
        <f>'2.WeanedCalf to Sell Bred Heif '!F6</f>
        <v>Heat Detection AI</v>
      </c>
      <c r="F7" s="74"/>
      <c r="G7" s="74"/>
      <c r="H7" s="74"/>
      <c r="I7" s="66"/>
    </row>
    <row r="8" spans="2:9" ht="15.45" x14ac:dyDescent="0.4">
      <c r="B8" s="66"/>
      <c r="C8" s="65"/>
      <c r="D8" s="191" t="s">
        <v>21</v>
      </c>
      <c r="E8" s="64"/>
      <c r="F8" s="191"/>
    </row>
    <row r="9" spans="2:9" ht="15.45" x14ac:dyDescent="0.4">
      <c r="B9" s="2" t="s">
        <v>145</v>
      </c>
      <c r="C9" s="65" t="s">
        <v>81</v>
      </c>
      <c r="D9" s="73">
        <f>'4.SexedSemen AI BreedingCost'!G18</f>
        <v>22.464000000000002</v>
      </c>
      <c r="F9" s="111"/>
    </row>
    <row r="10" spans="2:9" ht="15.45" x14ac:dyDescent="0.4">
      <c r="B10" s="66"/>
      <c r="C10" s="65" t="s">
        <v>75</v>
      </c>
      <c r="D10" s="73">
        <f>'4.SexedSemen AI BreedingCost'!G19</f>
        <v>63.936000000000007</v>
      </c>
      <c r="F10" s="111"/>
    </row>
    <row r="11" spans="2:9" ht="15.45" x14ac:dyDescent="0.4">
      <c r="B11" s="66"/>
      <c r="C11" s="46" t="s">
        <v>80</v>
      </c>
      <c r="D11" s="38">
        <f>D9+D10</f>
        <v>86.4</v>
      </c>
      <c r="F11" s="78"/>
      <c r="G11" s="36"/>
    </row>
    <row r="12" spans="2:9" ht="15.45" x14ac:dyDescent="0.4">
      <c r="B12" s="66"/>
      <c r="C12" s="76"/>
      <c r="D12" s="46" t="s">
        <v>105</v>
      </c>
      <c r="E12" s="46"/>
      <c r="F12" s="137"/>
    </row>
    <row r="13" spans="2:9" ht="15.45" x14ac:dyDescent="0.4">
      <c r="B13" s="3" t="s">
        <v>123</v>
      </c>
      <c r="C13" s="76" t="s">
        <v>103</v>
      </c>
      <c r="D13" s="46" t="s">
        <v>106</v>
      </c>
      <c r="E13" s="46"/>
      <c r="F13" s="137"/>
    </row>
    <row r="14" spans="2:9" ht="15" x14ac:dyDescent="0.35">
      <c r="B14" s="2" t="s">
        <v>136</v>
      </c>
      <c r="C14" s="115">
        <f>IF(D5=0,0,'2.WeanedCalf to Sell Bred Heif '!C92)</f>
        <v>797.4537037037037</v>
      </c>
      <c r="D14" s="78"/>
    </row>
    <row r="15" spans="2:9" ht="15" x14ac:dyDescent="0.35">
      <c r="B15" s="2" t="s">
        <v>101</v>
      </c>
      <c r="C15" s="115">
        <f>IF(D5=0,0,'2.WeanedCalf to Sell Bred Heif '!C93)</f>
        <v>-151.59722222222214</v>
      </c>
      <c r="D15" s="78"/>
    </row>
    <row r="16" spans="2:9" ht="15" x14ac:dyDescent="0.35">
      <c r="B16" s="2"/>
      <c r="C16" s="115"/>
      <c r="D16" s="78"/>
    </row>
    <row r="17" spans="2:8" ht="15.45" x14ac:dyDescent="0.4">
      <c r="B17" s="3" t="s">
        <v>141</v>
      </c>
      <c r="C17" s="17">
        <f>IF(D5=0,0,C14+C15)</f>
        <v>645.85648148148152</v>
      </c>
      <c r="D17" s="61">
        <f>IF($C$26=0,0,C17/$C$26)</f>
        <v>0.47599326635033079</v>
      </c>
    </row>
    <row r="18" spans="2:8" ht="15" x14ac:dyDescent="0.35">
      <c r="B18" s="66" t="s">
        <v>107</v>
      </c>
      <c r="C18" s="115">
        <f>IF(D5=0,0,'2.WeanedCalf to Sell Bred Heif '!C96)</f>
        <v>308.62268518518516</v>
      </c>
      <c r="D18" s="61">
        <f t="shared" ref="D18:D23" si="0">IF($C$26=0,0,C18/$C$26)</f>
        <v>0.22745350430507097</v>
      </c>
    </row>
    <row r="19" spans="2:8" ht="15" x14ac:dyDescent="0.35">
      <c r="B19" s="2" t="s">
        <v>139</v>
      </c>
      <c r="C19" s="115">
        <f>IF(D5=0,0,'2.WeanedCalf to Sell Bred Heif '!C98)</f>
        <v>0</v>
      </c>
      <c r="D19" s="61">
        <f t="shared" si="0"/>
        <v>0</v>
      </c>
    </row>
    <row r="20" spans="2:8" ht="15" x14ac:dyDescent="0.35">
      <c r="B20" s="66" t="s">
        <v>109</v>
      </c>
      <c r="C20" s="115">
        <f>IF(D5=0,0,'2.WeanedCalf to Sell Bred Heif '!C97)</f>
        <v>28.935185185185183</v>
      </c>
      <c r="D20" s="61">
        <f t="shared" si="0"/>
        <v>2.1325098847278356E-2</v>
      </c>
    </row>
    <row r="21" spans="2:8" ht="15.45" x14ac:dyDescent="0.4">
      <c r="B21" s="225" t="s">
        <v>122</v>
      </c>
      <c r="C21" s="235">
        <f>IF(D5=0,0,'2.WeanedCalf to Sell Bred Heif '!C101)</f>
        <v>152.14988425925927</v>
      </c>
      <c r="D21" s="236">
        <f t="shared" si="0"/>
        <v>0.1121337672686438</v>
      </c>
    </row>
    <row r="22" spans="2:8" ht="15" x14ac:dyDescent="0.35">
      <c r="B22" s="66" t="s">
        <v>99</v>
      </c>
      <c r="C22" s="115">
        <f>IF(D5=0,0,'2.WeanedCalf to Sell Bred Heif '!C102)</f>
        <v>47.782417237442921</v>
      </c>
      <c r="D22" s="61">
        <f t="shared" si="0"/>
        <v>3.5215422477132705E-2</v>
      </c>
    </row>
    <row r="23" spans="2:8" ht="15" x14ac:dyDescent="0.35">
      <c r="B23" s="2" t="s">
        <v>183</v>
      </c>
      <c r="C23" s="115">
        <f>IF(D5=0,0,'2.WeanedCalf to Sell Bred Heif '!C103)</f>
        <v>173.51388888888889</v>
      </c>
      <c r="D23" s="61">
        <f t="shared" si="0"/>
        <v>0.1278789407515433</v>
      </c>
    </row>
    <row r="24" spans="2:8" x14ac:dyDescent="0.3">
      <c r="B24" s="1" t="s">
        <v>142</v>
      </c>
    </row>
    <row r="25" spans="2:8" x14ac:dyDescent="0.3">
      <c r="B25" s="1"/>
    </row>
    <row r="26" spans="2:8" ht="15.45" x14ac:dyDescent="0.4">
      <c r="B26" s="138" t="s">
        <v>182</v>
      </c>
      <c r="C26" s="150">
        <f>IF(D5=0,0,SUM(C17:C23))</f>
        <v>1356.860542237443</v>
      </c>
      <c r="D26" s="78"/>
      <c r="E26" s="346" t="s">
        <v>196</v>
      </c>
      <c r="F26" s="234" t="s">
        <v>198</v>
      </c>
      <c r="H26" s="30"/>
    </row>
    <row r="27" spans="2:8" ht="15" x14ac:dyDescent="0.35">
      <c r="E27" s="346" t="s">
        <v>197</v>
      </c>
      <c r="F27" s="198" t="s">
        <v>328</v>
      </c>
      <c r="H27" s="479" t="str">
        <f>E3</f>
        <v xml:space="preserve">  </v>
      </c>
    </row>
    <row r="28" spans="2:8" ht="15.45" x14ac:dyDescent="0.4">
      <c r="B28" s="138" t="s">
        <v>138</v>
      </c>
      <c r="C28" s="150">
        <f>IF(D5=0,0,'2.WeanedCalf to Sell Bred Heif '!D86)</f>
        <v>1370</v>
      </c>
      <c r="E28" s="17">
        <f>'2.WeanedCalf to Sell Bred Heif '!E22</f>
        <v>1080</v>
      </c>
      <c r="F28" s="226">
        <f>IF(C28=0," ",C28-E28)</f>
        <v>290</v>
      </c>
    </row>
    <row r="30" spans="2:8" ht="15.45" x14ac:dyDescent="0.4">
      <c r="B30" s="138" t="s">
        <v>148</v>
      </c>
      <c r="C30" s="148">
        <f>C28-C26</f>
        <v>13.139457762556958</v>
      </c>
    </row>
    <row r="32" spans="2:8" ht="15.45" x14ac:dyDescent="0.4">
      <c r="B32" s="138" t="s">
        <v>143</v>
      </c>
      <c r="C32" s="174"/>
      <c r="D32" s="146">
        <f>IF(D5=0,0,'2.WeanedCalf to Sell Bred Heif '!F74)</f>
        <v>6.1040084867036423E-2</v>
      </c>
    </row>
    <row r="33" spans="2:6" x14ac:dyDescent="0.3">
      <c r="B33" s="52" t="s">
        <v>140</v>
      </c>
    </row>
    <row r="34" spans="2:6" x14ac:dyDescent="0.3">
      <c r="B34" s="52" t="s">
        <v>142</v>
      </c>
    </row>
    <row r="35" spans="2:6" x14ac:dyDescent="0.3">
      <c r="B35" s="60"/>
    </row>
    <row r="36" spans="2:6" ht="15" x14ac:dyDescent="0.35">
      <c r="B36" s="66"/>
      <c r="C36" s="115"/>
      <c r="D36" s="78"/>
      <c r="E36" s="116"/>
    </row>
    <row r="37" spans="2:6" ht="15" x14ac:dyDescent="0.35">
      <c r="D37" s="66"/>
      <c r="E37" s="66"/>
      <c r="F37" s="66"/>
    </row>
    <row r="61" spans="2:6" ht="15.45" x14ac:dyDescent="0.4">
      <c r="B61" s="183"/>
      <c r="D61" s="3" t="s">
        <v>304</v>
      </c>
      <c r="E61" s="3" t="s">
        <v>303</v>
      </c>
      <c r="F61" s="3" t="s">
        <v>170</v>
      </c>
    </row>
    <row r="62" spans="2:6" ht="15.45" x14ac:dyDescent="0.4">
      <c r="B62" s="5" t="s">
        <v>21</v>
      </c>
      <c r="C62" s="76" t="s">
        <v>288</v>
      </c>
      <c r="D62" s="3">
        <f>'4.SexedSemen AI BreedingCost'!E96</f>
        <v>2</v>
      </c>
      <c r="E62" s="38">
        <f>D5</f>
        <v>96</v>
      </c>
      <c r="F62" s="38">
        <f>D11</f>
        <v>86.4</v>
      </c>
    </row>
    <row r="63" spans="2:6" ht="15.45" x14ac:dyDescent="0.4">
      <c r="B63" s="2"/>
      <c r="C63" s="76" t="s">
        <v>306</v>
      </c>
      <c r="D63" s="3" t="s">
        <v>305</v>
      </c>
      <c r="E63" s="67" t="s">
        <v>302</v>
      </c>
    </row>
    <row r="64" spans="2:6" ht="15" x14ac:dyDescent="0.35">
      <c r="B64" s="23" t="s">
        <v>291</v>
      </c>
      <c r="C64" s="10">
        <f>'6. Bull Cost'!E32</f>
        <v>1630</v>
      </c>
      <c r="D64" s="10">
        <f>C64*$D$62</f>
        <v>3260</v>
      </c>
      <c r="E64" s="307">
        <f>IF($E$62=0,0,D64/$E$62)</f>
        <v>33.958333333333336</v>
      </c>
      <c r="F64" s="10">
        <f>IF($F$62=0,0,D64/$F$62)</f>
        <v>37.731481481481481</v>
      </c>
    </row>
    <row r="65" spans="2:6" ht="15" x14ac:dyDescent="0.35">
      <c r="B65" s="181" t="s">
        <v>365</v>
      </c>
      <c r="C65" s="10">
        <f>'6. Bull Cost'!E33</f>
        <v>19.375</v>
      </c>
      <c r="D65" s="10">
        <f t="shared" ref="D65:D66" si="1">C65*$D$62</f>
        <v>38.75</v>
      </c>
      <c r="E65" s="307">
        <f t="shared" ref="E65" si="2">IF($E$62=0,0,D65/$E$62)</f>
        <v>0.40364583333333331</v>
      </c>
      <c r="F65" s="10">
        <f t="shared" ref="F65:F67" si="3">IF($F$62=0,0,D65/$F$62)</f>
        <v>0.44849537037037035</v>
      </c>
    </row>
    <row r="66" spans="2:6" ht="15" x14ac:dyDescent="0.35">
      <c r="B66" s="181" t="s">
        <v>366</v>
      </c>
      <c r="C66" s="10">
        <f>'6. Bull Cost'!E34</f>
        <v>148.5</v>
      </c>
      <c r="D66" s="10">
        <f t="shared" si="1"/>
        <v>297</v>
      </c>
      <c r="E66" s="307">
        <f t="shared" ref="E66" si="4">IF($E$62=0,0,D66/$E$62)</f>
        <v>3.09375</v>
      </c>
      <c r="F66" s="10">
        <f t="shared" ref="F66" si="5">IF($F$62=0,0,D66/$F$62)</f>
        <v>3.4374999999999996</v>
      </c>
    </row>
    <row r="67" spans="2:6" ht="15.45" x14ac:dyDescent="0.4">
      <c r="B67" s="3" t="s">
        <v>100</v>
      </c>
      <c r="C67" s="67">
        <f>SUM(C64:C66)</f>
        <v>1797.875</v>
      </c>
      <c r="D67" s="67">
        <f>SUM(D64:D66)</f>
        <v>3595.75</v>
      </c>
      <c r="E67" s="321">
        <f>E64+E65</f>
        <v>34.361979166666671</v>
      </c>
      <c r="F67" s="67">
        <f t="shared" si="3"/>
        <v>41.617476851851848</v>
      </c>
    </row>
    <row r="68" spans="2:6" ht="15.45" x14ac:dyDescent="0.4">
      <c r="C68" s="485" t="s">
        <v>342</v>
      </c>
      <c r="D68" s="485"/>
      <c r="E68" s="485"/>
      <c r="F68" s="485"/>
    </row>
    <row r="69" spans="2:6" ht="15.45" x14ac:dyDescent="0.4">
      <c r="B69" s="3" t="s">
        <v>307</v>
      </c>
      <c r="C69" s="17">
        <f>'6. Bull Cost'!F38</f>
        <v>2970</v>
      </c>
      <c r="D69" s="17">
        <f>D62*C69</f>
        <v>5940</v>
      </c>
      <c r="E69" s="321">
        <f>IF($E$62=0,0,D69/$E$62)</f>
        <v>61.875</v>
      </c>
      <c r="F69" s="67">
        <f>IF($F$62=0,0,D69/$F$62)</f>
        <v>68.75</v>
      </c>
    </row>
    <row r="70" spans="2:6" ht="15.45" x14ac:dyDescent="0.4">
      <c r="C70" s="76" t="s">
        <v>288</v>
      </c>
      <c r="D70" s="22" t="s">
        <v>396</v>
      </c>
      <c r="E70" s="3" t="s">
        <v>397</v>
      </c>
      <c r="F70" s="23" t="s">
        <v>398</v>
      </c>
    </row>
  </sheetData>
  <sheetProtection sheet="1" objects="1" scenarios="1"/>
  <mergeCells count="3">
    <mergeCell ref="B1:G1"/>
    <mergeCell ref="B3:D3"/>
    <mergeCell ref="C68:F68"/>
  </mergeCells>
  <phoneticPr fontId="25" type="noConversion"/>
  <pageMargins left="0.95" right="0.45" top="0.75" bottom="0.75" header="0.3" footer="0.3"/>
  <pageSetup scale="77" orientation="portrait" r:id="rId1"/>
  <headerFooter>
    <oddFooter>&amp;L&amp;F&amp;R&amp;A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1"/>
  <sheetViews>
    <sheetView topLeftCell="A21" workbookViewId="0">
      <selection activeCell="F27" sqref="F27"/>
    </sheetView>
  </sheetViews>
  <sheetFormatPr defaultRowHeight="12.45" x14ac:dyDescent="0.3"/>
  <cols>
    <col min="1" max="1" width="2.84375" customWidth="1"/>
    <col min="2" max="2" width="36.4609375" customWidth="1"/>
    <col min="4" max="4" width="13.23046875" customWidth="1"/>
    <col min="5" max="5" width="13.61328125" customWidth="1"/>
    <col min="6" max="6" width="11.15234375" customWidth="1"/>
    <col min="7" max="7" width="15.84375" customWidth="1"/>
    <col min="8" max="8" width="13.69140625" customWidth="1"/>
    <col min="9" max="12" width="11.07421875" customWidth="1"/>
    <col min="13" max="13" width="11.69140625" customWidth="1"/>
    <col min="14" max="14" width="12.765625" customWidth="1"/>
    <col min="17" max="17" width="9.53515625" bestFit="1" customWidth="1"/>
    <col min="18" max="18" width="10.53515625" bestFit="1" customWidth="1"/>
  </cols>
  <sheetData>
    <row r="1" spans="2:13" ht="15.45" x14ac:dyDescent="0.4">
      <c r="B1" s="485" t="s">
        <v>51</v>
      </c>
      <c r="C1" s="485"/>
      <c r="D1" s="485"/>
      <c r="E1" s="485"/>
      <c r="F1" s="485"/>
      <c r="G1" s="485"/>
      <c r="H1" s="486"/>
      <c r="I1" s="298"/>
      <c r="J1" s="298"/>
      <c r="K1" s="298"/>
      <c r="L1" s="298"/>
      <c r="M1" s="46"/>
    </row>
    <row r="2" spans="2:13" ht="15.45" x14ac:dyDescent="0.4">
      <c r="B2" s="298"/>
      <c r="C2" s="298"/>
      <c r="D2" s="298"/>
      <c r="E2" s="298"/>
      <c r="F2" s="298"/>
      <c r="G2" s="298" t="s">
        <v>386</v>
      </c>
      <c r="H2" s="298"/>
      <c r="I2" s="298"/>
      <c r="J2" s="298"/>
      <c r="K2" s="298"/>
      <c r="L2" s="298"/>
      <c r="M2" s="298"/>
    </row>
    <row r="3" spans="2:13" ht="17.600000000000001" x14ac:dyDescent="0.4">
      <c r="B3" s="300" t="s">
        <v>333</v>
      </c>
      <c r="C3" s="299"/>
      <c r="D3" s="299"/>
      <c r="E3" s="301"/>
      <c r="G3" s="298" t="s">
        <v>281</v>
      </c>
      <c r="H3" s="298"/>
      <c r="I3" s="507" t="str">
        <f>IF(F4=0,"No bulls required"," ")</f>
        <v xml:space="preserve"> </v>
      </c>
      <c r="J3" s="492"/>
      <c r="K3" s="492"/>
      <c r="L3" s="298"/>
    </row>
    <row r="4" spans="2:13" ht="15.45" x14ac:dyDescent="0.4">
      <c r="B4" s="298" t="s">
        <v>282</v>
      </c>
      <c r="C4" s="344">
        <f>'2.WeanedCalf to Sell Bred Heif '!E17</f>
        <v>96</v>
      </c>
      <c r="D4" s="485" t="s">
        <v>283</v>
      </c>
      <c r="E4" s="486"/>
      <c r="F4" s="394">
        <v>50</v>
      </c>
      <c r="G4" s="317">
        <v>2</v>
      </c>
      <c r="I4" s="508" t="s">
        <v>284</v>
      </c>
      <c r="J4" s="492"/>
      <c r="K4" s="492"/>
      <c r="L4" s="492"/>
    </row>
    <row r="5" spans="2:13" ht="15.45" x14ac:dyDescent="0.4">
      <c r="B5" s="47"/>
      <c r="C5" s="47"/>
      <c r="D5" s="509" t="s">
        <v>285</v>
      </c>
      <c r="E5" s="510"/>
      <c r="F5" s="340">
        <f>IF(F4=0,0,C4/F4)</f>
        <v>1.92</v>
      </c>
      <c r="G5" s="47"/>
      <c r="H5" s="47"/>
      <c r="I5" s="339">
        <f>IF(G4=0,0,C4/G4)</f>
        <v>48</v>
      </c>
      <c r="J5" s="22" t="s">
        <v>324</v>
      </c>
    </row>
    <row r="6" spans="2:13" ht="15" x14ac:dyDescent="0.35">
      <c r="B6" s="47"/>
      <c r="C6" s="47"/>
      <c r="D6" s="47"/>
      <c r="E6" s="47"/>
      <c r="F6" s="47"/>
      <c r="G6" s="47"/>
      <c r="H6" s="47"/>
      <c r="I6" s="47"/>
    </row>
    <row r="7" spans="2:13" ht="46.3" x14ac:dyDescent="0.4">
      <c r="B7" s="3" t="s">
        <v>31</v>
      </c>
      <c r="C7" s="4"/>
      <c r="D7" s="4"/>
      <c r="E7" s="309" t="s">
        <v>296</v>
      </c>
      <c r="F7" s="309" t="s">
        <v>318</v>
      </c>
      <c r="G7" s="309" t="s">
        <v>322</v>
      </c>
      <c r="H7" s="2"/>
    </row>
    <row r="8" spans="2:13" ht="15" x14ac:dyDescent="0.35">
      <c r="B8" s="2" t="s">
        <v>32</v>
      </c>
      <c r="C8" s="2"/>
      <c r="D8" s="2"/>
      <c r="E8" s="118">
        <v>700</v>
      </c>
      <c r="F8" s="119"/>
      <c r="G8" s="10">
        <f>IF($F$20=0,0,E8/$F$20)</f>
        <v>14</v>
      </c>
      <c r="H8" s="2"/>
    </row>
    <row r="9" spans="2:13" ht="15" x14ac:dyDescent="0.35">
      <c r="B9" s="120" t="s">
        <v>33</v>
      </c>
      <c r="C9" s="2"/>
      <c r="D9" s="2"/>
      <c r="E9" s="121">
        <v>0</v>
      </c>
      <c r="F9" s="119"/>
      <c r="G9" s="10">
        <f t="shared" ref="G9:G12" si="0">IF($F$20=0,0,E9/$F$20)</f>
        <v>0</v>
      </c>
      <c r="H9" s="2"/>
    </row>
    <row r="10" spans="2:13" ht="15" x14ac:dyDescent="0.35">
      <c r="B10" s="2" t="s">
        <v>34</v>
      </c>
      <c r="C10" s="2"/>
      <c r="D10" s="2"/>
      <c r="E10" s="121">
        <v>75</v>
      </c>
      <c r="F10" s="122"/>
      <c r="G10" s="10">
        <f t="shared" si="0"/>
        <v>1.5</v>
      </c>
      <c r="H10" s="2"/>
      <c r="I10" s="506" t="s">
        <v>276</v>
      </c>
      <c r="J10" s="506"/>
      <c r="K10" s="506"/>
    </row>
    <row r="11" spans="2:13" ht="15" x14ac:dyDescent="0.35">
      <c r="B11" s="2" t="s">
        <v>35</v>
      </c>
      <c r="C11" s="2"/>
      <c r="D11" s="2"/>
      <c r="E11" s="123">
        <f>(E8+E9+E10)*0.5*C29*0.01</f>
        <v>19.375</v>
      </c>
      <c r="F11" s="122"/>
      <c r="G11" s="10">
        <f t="shared" si="0"/>
        <v>0.38750000000000001</v>
      </c>
      <c r="H11" s="2"/>
      <c r="I11" s="2"/>
      <c r="J11" s="2"/>
      <c r="K11" s="2"/>
      <c r="L11" s="2"/>
    </row>
    <row r="12" spans="2:13" ht="15.45" x14ac:dyDescent="0.4">
      <c r="B12" s="138" t="s">
        <v>36</v>
      </c>
      <c r="C12" s="171"/>
      <c r="D12" s="171"/>
      <c r="E12" s="172">
        <f>SUM(E8:E11)</f>
        <v>794.375</v>
      </c>
      <c r="F12" s="140"/>
      <c r="G12" s="228">
        <f t="shared" si="0"/>
        <v>15.887499999999999</v>
      </c>
      <c r="H12" s="4"/>
      <c r="I12" s="4"/>
      <c r="J12" s="4"/>
      <c r="K12" s="4"/>
      <c r="L12" s="4"/>
    </row>
    <row r="13" spans="2:13" ht="15.45" x14ac:dyDescent="0.4">
      <c r="B13" s="11"/>
      <c r="C13" s="2"/>
      <c r="D13" s="2"/>
      <c r="E13" s="26"/>
      <c r="F13" s="4"/>
      <c r="G13" s="125"/>
      <c r="H13" s="2"/>
      <c r="I13" s="2"/>
      <c r="J13" s="2"/>
      <c r="K13" s="2"/>
      <c r="L13" s="2"/>
    </row>
    <row r="14" spans="2:13" ht="15.45" x14ac:dyDescent="0.4">
      <c r="B14" s="3" t="s">
        <v>37</v>
      </c>
      <c r="C14" s="4"/>
      <c r="D14" s="4"/>
      <c r="E14" s="4"/>
      <c r="F14" s="4"/>
      <c r="G14" s="4"/>
      <c r="H14" s="4"/>
      <c r="I14" s="4"/>
      <c r="J14" s="4"/>
      <c r="K14" s="4"/>
      <c r="L14" s="4"/>
    </row>
    <row r="15" spans="2:13" ht="15" x14ac:dyDescent="0.35">
      <c r="B15" s="4" t="s">
        <v>38</v>
      </c>
      <c r="C15" s="4"/>
      <c r="D15" s="4"/>
      <c r="E15" s="126">
        <f>(G24-G27)/G25</f>
        <v>765</v>
      </c>
      <c r="F15" s="119"/>
      <c r="G15" s="10">
        <f t="shared" ref="G15:G18" si="1">IF($F$20=0,0,E15/$F$20)</f>
        <v>15.3</v>
      </c>
      <c r="H15" s="2"/>
      <c r="I15" s="2"/>
      <c r="J15" s="2"/>
      <c r="K15" s="2"/>
      <c r="L15" s="2"/>
    </row>
    <row r="16" spans="2:13" ht="15" x14ac:dyDescent="0.35">
      <c r="B16" s="2" t="s">
        <v>39</v>
      </c>
      <c r="C16" s="2"/>
      <c r="D16" s="2"/>
      <c r="E16" s="12">
        <f>E40*C29*0.01</f>
        <v>148.5</v>
      </c>
      <c r="F16" s="10"/>
      <c r="G16" s="10">
        <f t="shared" si="1"/>
        <v>2.97</v>
      </c>
      <c r="H16" s="2"/>
      <c r="I16" s="2"/>
      <c r="J16" s="2"/>
      <c r="K16" s="2"/>
      <c r="L16" s="2"/>
    </row>
    <row r="17" spans="1:16" ht="15.45" x14ac:dyDescent="0.4">
      <c r="B17" s="2" t="s">
        <v>97</v>
      </c>
      <c r="C17" s="302">
        <v>2</v>
      </c>
      <c r="D17" s="2" t="s">
        <v>6</v>
      </c>
      <c r="E17" s="25">
        <f>G24*C17*0.01</f>
        <v>90</v>
      </c>
      <c r="F17" s="119"/>
      <c r="G17" s="10">
        <f t="shared" si="1"/>
        <v>1.8</v>
      </c>
      <c r="H17" s="2"/>
      <c r="I17" s="2"/>
      <c r="J17" s="2"/>
      <c r="K17" s="2"/>
      <c r="L17" s="2"/>
    </row>
    <row r="18" spans="1:16" ht="15.45" x14ac:dyDescent="0.4">
      <c r="B18" s="3" t="s">
        <v>40</v>
      </c>
      <c r="C18" s="4"/>
      <c r="D18" s="4"/>
      <c r="E18" s="124">
        <f>SUM(E15:E17)</f>
        <v>1003.5</v>
      </c>
      <c r="F18" s="119"/>
      <c r="G18" s="228">
        <f t="shared" si="1"/>
        <v>20.07</v>
      </c>
      <c r="H18" s="2"/>
      <c r="I18" s="2"/>
      <c r="J18" s="2"/>
      <c r="K18" s="2"/>
      <c r="L18" s="2"/>
    </row>
    <row r="19" spans="1:16" ht="15.45" x14ac:dyDescent="0.4">
      <c r="B19" s="3"/>
      <c r="C19" s="4"/>
      <c r="D19" s="4"/>
      <c r="E19" s="160"/>
      <c r="F19" s="161"/>
      <c r="G19" s="162"/>
      <c r="H19" s="25">
        <f>E11+E16</f>
        <v>167.875</v>
      </c>
      <c r="I19" s="2" t="s">
        <v>212</v>
      </c>
      <c r="J19" s="2"/>
      <c r="K19" s="2"/>
      <c r="L19" s="2"/>
    </row>
    <row r="20" spans="1:16" ht="15.45" x14ac:dyDescent="0.4">
      <c r="A20" s="1"/>
      <c r="B20" s="320" t="s">
        <v>126</v>
      </c>
      <c r="C20" s="320"/>
      <c r="D20" s="320"/>
      <c r="E20" s="97">
        <f>E12+E18</f>
        <v>1797.875</v>
      </c>
      <c r="F20" s="310">
        <f>F22</f>
        <v>50</v>
      </c>
      <c r="G20" s="283">
        <f>IF(F20=0,0,E20/F20)</f>
        <v>35.957500000000003</v>
      </c>
      <c r="H20" s="126">
        <f>E20-H19</f>
        <v>1630</v>
      </c>
      <c r="I20" s="2" t="s">
        <v>299</v>
      </c>
      <c r="J20" s="4"/>
      <c r="K20" s="52" t="s">
        <v>125</v>
      </c>
    </row>
    <row r="21" spans="1:16" ht="15" x14ac:dyDescent="0.35">
      <c r="E21" s="70"/>
      <c r="F21" s="70"/>
      <c r="G21" s="70"/>
      <c r="H21" s="126">
        <f>H19+H20</f>
        <v>1797.875</v>
      </c>
      <c r="I21" s="4"/>
      <c r="J21" s="4"/>
      <c r="K21" s="52" t="s">
        <v>154</v>
      </c>
      <c r="L21" s="51"/>
    </row>
    <row r="22" spans="1:16" ht="15.45" x14ac:dyDescent="0.4">
      <c r="B22" s="138" t="s">
        <v>319</v>
      </c>
      <c r="C22" s="140"/>
      <c r="D22" s="140"/>
      <c r="E22" s="149">
        <f>E20-E16-E11</f>
        <v>1630</v>
      </c>
      <c r="F22" s="481">
        <f>F4</f>
        <v>50</v>
      </c>
      <c r="G22" s="173">
        <f>IF(F22=0,0,E22/F22)</f>
        <v>32.6</v>
      </c>
      <c r="H22" s="4"/>
      <c r="I22" s="4"/>
      <c r="J22" s="4"/>
      <c r="L22" s="51"/>
      <c r="O22">
        <v>2</v>
      </c>
      <c r="P22">
        <v>4</v>
      </c>
    </row>
    <row r="23" spans="1:16" ht="15" x14ac:dyDescent="0.35">
      <c r="B23" s="4"/>
      <c r="C23" s="4"/>
      <c r="D23" s="4"/>
      <c r="E23" s="126"/>
      <c r="F23" s="4"/>
      <c r="G23" s="4"/>
      <c r="H23" s="4"/>
      <c r="I23" s="4"/>
      <c r="J23" s="4"/>
      <c r="K23" s="36">
        <f>C4</f>
        <v>96</v>
      </c>
      <c r="L23" t="s">
        <v>94</v>
      </c>
      <c r="O23">
        <v>50</v>
      </c>
      <c r="P23">
        <v>25</v>
      </c>
    </row>
    <row r="24" spans="1:16" ht="15.45" x14ac:dyDescent="0.4">
      <c r="B24" s="3" t="s">
        <v>320</v>
      </c>
      <c r="C24" s="2"/>
      <c r="D24" s="2"/>
      <c r="E24" s="2"/>
      <c r="F24" s="2"/>
      <c r="G24" s="127">
        <v>4500</v>
      </c>
      <c r="H24" s="2"/>
      <c r="I24" s="2"/>
      <c r="J24" s="2"/>
      <c r="L24" s="51"/>
      <c r="O24" s="22" t="s">
        <v>332</v>
      </c>
      <c r="P24" s="22" t="s">
        <v>78</v>
      </c>
    </row>
    <row r="25" spans="1:16" ht="15" x14ac:dyDescent="0.35">
      <c r="B25" s="2" t="s">
        <v>321</v>
      </c>
      <c r="C25" s="2"/>
      <c r="D25" s="2"/>
      <c r="E25" s="2"/>
      <c r="F25" s="2"/>
      <c r="G25" s="231">
        <v>4</v>
      </c>
      <c r="H25" s="2"/>
      <c r="I25" s="2"/>
      <c r="J25" s="2"/>
      <c r="K25" s="18">
        <f>E16+E11</f>
        <v>167.875</v>
      </c>
      <c r="L25" s="197" t="s">
        <v>149</v>
      </c>
      <c r="N25" s="22" t="s">
        <v>94</v>
      </c>
      <c r="O25" s="36" t="e">
        <f>#REF!</f>
        <v>#REF!</v>
      </c>
      <c r="P25" s="36">
        <f>'2.WeanedCalf to Sell Bred Heif '!E17</f>
        <v>96</v>
      </c>
    </row>
    <row r="26" spans="1:16" ht="15" x14ac:dyDescent="0.35">
      <c r="B26" s="2"/>
      <c r="C26" s="2"/>
      <c r="D26" s="2"/>
      <c r="E26" s="56" t="s">
        <v>41</v>
      </c>
      <c r="F26" s="56" t="s">
        <v>42</v>
      </c>
      <c r="G26" s="56" t="s">
        <v>43</v>
      </c>
      <c r="H26" s="2"/>
      <c r="I26" s="2"/>
      <c r="J26" s="2"/>
      <c r="K26" s="55">
        <f>H33</f>
        <v>0.40364583333333331</v>
      </c>
      <c r="L26" s="256" t="s">
        <v>239</v>
      </c>
      <c r="O26" s="30" t="e">
        <f>O25*K26</f>
        <v>#REF!</v>
      </c>
      <c r="P26" s="30">
        <f>P25*K26</f>
        <v>38.75</v>
      </c>
    </row>
    <row r="27" spans="1:16" ht="15" x14ac:dyDescent="0.35">
      <c r="B27" s="2" t="s">
        <v>44</v>
      </c>
      <c r="C27" s="2"/>
      <c r="D27" s="2"/>
      <c r="E27" s="128">
        <v>1800</v>
      </c>
      <c r="F27" s="129">
        <v>80</v>
      </c>
      <c r="G27" s="12">
        <f>E27*F27*0.01</f>
        <v>1440</v>
      </c>
      <c r="H27" s="2"/>
      <c r="I27" s="2"/>
      <c r="J27" s="2"/>
      <c r="K27" s="55">
        <f>E40/F22</f>
        <v>59.4</v>
      </c>
      <c r="L27" s="50" t="s">
        <v>341</v>
      </c>
      <c r="O27" s="253" t="e">
        <f>O25*K27</f>
        <v>#REF!</v>
      </c>
      <c r="P27" s="253">
        <f>K27*P25</f>
        <v>5702.4</v>
      </c>
    </row>
    <row r="28" spans="1:16" ht="15" x14ac:dyDescent="0.35">
      <c r="B28" s="2"/>
      <c r="C28" s="2"/>
      <c r="D28" s="2"/>
      <c r="E28" s="2"/>
      <c r="F28" s="2"/>
      <c r="G28" s="2"/>
      <c r="H28" s="2"/>
      <c r="I28" s="2"/>
      <c r="J28" s="2"/>
      <c r="K28" s="2"/>
      <c r="L28" s="2"/>
      <c r="N28" s="48"/>
    </row>
    <row r="29" spans="1:16" ht="15" x14ac:dyDescent="0.35">
      <c r="B29" s="2" t="s">
        <v>45</v>
      </c>
      <c r="C29" s="130">
        <f>'2.WeanedCalf to Sell Bred Heif '!C67</f>
        <v>5</v>
      </c>
      <c r="D29" s="2" t="s">
        <v>6</v>
      </c>
      <c r="G29" s="2"/>
      <c r="H29" s="2"/>
      <c r="I29" s="2"/>
      <c r="J29" s="2"/>
      <c r="K29" s="133"/>
      <c r="L29" s="2"/>
      <c r="M29" s="51"/>
      <c r="N29" s="51"/>
      <c r="O29" s="52"/>
    </row>
    <row r="30" spans="1:16" ht="15.45" x14ac:dyDescent="0.4">
      <c r="B30" s="3" t="s">
        <v>286</v>
      </c>
      <c r="C30" s="2"/>
      <c r="D30" s="2"/>
      <c r="E30" s="2"/>
      <c r="F30" s="2"/>
      <c r="G30" s="2"/>
      <c r="H30" s="2"/>
      <c r="I30" s="2"/>
      <c r="J30" s="2"/>
      <c r="K30" s="2"/>
      <c r="L30" s="2"/>
    </row>
    <row r="31" spans="1:16" ht="15.45" x14ac:dyDescent="0.4">
      <c r="B31" s="2"/>
      <c r="C31" s="3" t="s">
        <v>287</v>
      </c>
      <c r="D31" s="3"/>
      <c r="E31" s="304" t="s">
        <v>288</v>
      </c>
      <c r="F31" s="3"/>
      <c r="G31" s="3" t="s">
        <v>289</v>
      </c>
      <c r="H31" s="23" t="s">
        <v>169</v>
      </c>
      <c r="I31" s="23"/>
      <c r="J31" s="23"/>
      <c r="K31" s="23"/>
      <c r="L31" s="23"/>
    </row>
    <row r="32" spans="1:16" ht="15.45" x14ac:dyDescent="0.4">
      <c r="B32" s="23" t="s">
        <v>290</v>
      </c>
      <c r="C32" s="305">
        <f>G4</f>
        <v>2</v>
      </c>
      <c r="D32" s="181" t="s">
        <v>291</v>
      </c>
      <c r="E32" s="306">
        <f>E22</f>
        <v>1630</v>
      </c>
      <c r="F32" s="2"/>
      <c r="G32" s="25">
        <f>$C$32*$E32</f>
        <v>3260</v>
      </c>
      <c r="H32" s="10">
        <f>G32/$C$4</f>
        <v>33.958333333333336</v>
      </c>
      <c r="I32" s="10"/>
      <c r="J32" s="10"/>
      <c r="K32" s="10"/>
      <c r="L32" s="10"/>
    </row>
    <row r="33" spans="2:12" ht="15.45" x14ac:dyDescent="0.4">
      <c r="B33" s="3"/>
      <c r="C33" s="305"/>
      <c r="D33" s="181" t="s">
        <v>365</v>
      </c>
      <c r="E33" s="307">
        <f>E11</f>
        <v>19.375</v>
      </c>
      <c r="F33" s="2"/>
      <c r="G33" s="25">
        <f t="shared" ref="G33:G34" si="2">$C$32*$E33</f>
        <v>38.75</v>
      </c>
      <c r="H33" s="10">
        <f t="shared" ref="H33:H34" si="3">G33/$C$4</f>
        <v>0.40364583333333331</v>
      </c>
      <c r="I33" s="10"/>
      <c r="J33" s="10"/>
      <c r="K33" s="10"/>
      <c r="L33" s="10"/>
    </row>
    <row r="34" spans="2:12" ht="15.45" x14ac:dyDescent="0.4">
      <c r="B34" s="3"/>
      <c r="C34" s="305"/>
      <c r="D34" s="181" t="s">
        <v>366</v>
      </c>
      <c r="E34" s="307">
        <f>E16</f>
        <v>148.5</v>
      </c>
      <c r="F34" s="2"/>
      <c r="G34" s="25">
        <f t="shared" si="2"/>
        <v>297</v>
      </c>
      <c r="H34" s="10">
        <f t="shared" si="3"/>
        <v>3.09375</v>
      </c>
      <c r="I34" s="10"/>
      <c r="J34" s="10"/>
      <c r="K34" s="10"/>
      <c r="L34" s="10"/>
    </row>
    <row r="35" spans="2:12" ht="15.45" x14ac:dyDescent="0.4">
      <c r="B35" s="3"/>
      <c r="C35" s="2"/>
      <c r="D35" s="3" t="s">
        <v>80</v>
      </c>
      <c r="E35" s="26">
        <f>SUM(E32:E34)</f>
        <v>1797.875</v>
      </c>
      <c r="F35" s="2"/>
      <c r="G35" s="26">
        <f>SUM(G32:G34)</f>
        <v>3595.75</v>
      </c>
      <c r="H35" s="67">
        <f>G35/$C$4</f>
        <v>37.455729166666664</v>
      </c>
      <c r="I35" s="67"/>
      <c r="J35" s="67"/>
      <c r="K35" s="67"/>
      <c r="L35" s="67"/>
    </row>
    <row r="36" spans="2:12" ht="15.45" x14ac:dyDescent="0.4">
      <c r="B36" s="3"/>
      <c r="C36" s="2"/>
      <c r="D36" s="3"/>
      <c r="E36" s="26"/>
      <c r="G36" s="26"/>
      <c r="H36" s="67"/>
      <c r="I36" s="67"/>
      <c r="J36" s="67"/>
      <c r="K36" s="67"/>
      <c r="L36" s="67"/>
    </row>
    <row r="37" spans="2:12" ht="15.45" x14ac:dyDescent="0.4">
      <c r="B37" s="3" t="s">
        <v>292</v>
      </c>
      <c r="C37" s="38">
        <f>C4</f>
        <v>96</v>
      </c>
      <c r="D37" s="181"/>
      <c r="E37" s="76" t="s">
        <v>80</v>
      </c>
      <c r="F37" s="76" t="s">
        <v>293</v>
      </c>
      <c r="G37" s="76" t="s">
        <v>294</v>
      </c>
    </row>
    <row r="38" spans="2:12" ht="15.45" x14ac:dyDescent="0.4">
      <c r="B38" s="23" t="s">
        <v>295</v>
      </c>
      <c r="C38" s="308">
        <f>C32</f>
        <v>2</v>
      </c>
      <c r="D38" s="23" t="s">
        <v>21</v>
      </c>
      <c r="E38" s="17">
        <f>G24*C38</f>
        <v>9000</v>
      </c>
      <c r="F38" s="17">
        <f>E40</f>
        <v>2970</v>
      </c>
      <c r="G38" s="26">
        <f>C38*F38</f>
        <v>5940</v>
      </c>
      <c r="H38" s="67">
        <f>G38/$C$4</f>
        <v>61.875</v>
      </c>
      <c r="I38" s="67"/>
      <c r="J38" s="67"/>
      <c r="K38" s="67"/>
      <c r="L38" s="67"/>
    </row>
    <row r="39" spans="2:12" ht="15.45" x14ac:dyDescent="0.4">
      <c r="B39" s="3" t="s">
        <v>286</v>
      </c>
      <c r="C39" s="2"/>
      <c r="D39" s="2"/>
      <c r="E39" s="2"/>
      <c r="F39" s="2"/>
      <c r="G39" s="2"/>
      <c r="H39" s="2"/>
      <c r="I39" s="2"/>
      <c r="J39" s="2"/>
      <c r="K39" s="2"/>
      <c r="L39" s="2"/>
    </row>
    <row r="40" spans="2:12" ht="15" x14ac:dyDescent="0.35">
      <c r="B40" s="22" t="s">
        <v>46</v>
      </c>
      <c r="C40" s="4"/>
      <c r="D40" s="4"/>
      <c r="E40" s="331">
        <f>(G24+G27)/2</f>
        <v>2970</v>
      </c>
      <c r="F40" s="4"/>
      <c r="G40" s="4"/>
      <c r="H40" s="4"/>
      <c r="I40" s="4"/>
      <c r="J40" s="4"/>
      <c r="K40" s="4"/>
      <c r="L40" s="4"/>
    </row>
    <row r="41" spans="2:12" x14ac:dyDescent="0.3">
      <c r="B41" s="303" t="s">
        <v>146</v>
      </c>
    </row>
  </sheetData>
  <sheetProtection sheet="1" objects="1" scenarios="1"/>
  <mergeCells count="6">
    <mergeCell ref="B1:H1"/>
    <mergeCell ref="I10:K10"/>
    <mergeCell ref="I3:K3"/>
    <mergeCell ref="D4:E4"/>
    <mergeCell ref="I4:L4"/>
    <mergeCell ref="D5:E5"/>
  </mergeCells>
  <phoneticPr fontId="5" type="noConversion"/>
  <pageMargins left="1" right="0.5" top="1" bottom="1" header="0.5" footer="0.5"/>
  <pageSetup scale="80" orientation="portrait" r:id="rId1"/>
  <headerFooter alignWithMargins="0">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P44"/>
  <sheetViews>
    <sheetView topLeftCell="A11" zoomScaleNormal="100" workbookViewId="0">
      <selection activeCell="B19" sqref="B19"/>
    </sheetView>
  </sheetViews>
  <sheetFormatPr defaultRowHeight="12.45" x14ac:dyDescent="0.3"/>
  <cols>
    <col min="1" max="1" width="4" customWidth="1"/>
    <col min="2" max="2" width="43" customWidth="1"/>
    <col min="3" max="3" width="14" customWidth="1"/>
    <col min="4" max="4" width="12.07421875" customWidth="1"/>
    <col min="5" max="5" width="10.921875" customWidth="1"/>
    <col min="6" max="6" width="16.3046875" customWidth="1"/>
    <col min="7" max="7" width="12" customWidth="1"/>
    <col min="8" max="8" width="3.23046875" hidden="1" customWidth="1"/>
    <col min="9" max="9" width="10.921875" customWidth="1"/>
    <col min="10" max="10" width="9.15234375" customWidth="1"/>
  </cols>
  <sheetData>
    <row r="1" spans="2:16" ht="17.600000000000001" x14ac:dyDescent="0.4">
      <c r="B1" s="501" t="s">
        <v>300</v>
      </c>
      <c r="C1" s="501"/>
      <c r="D1" s="505"/>
      <c r="E1" s="505"/>
      <c r="F1" s="505"/>
      <c r="G1" s="505"/>
      <c r="H1" s="505"/>
      <c r="I1" s="492"/>
    </row>
    <row r="3" spans="2:16" ht="15.45" x14ac:dyDescent="0.4">
      <c r="B3" s="3" t="s">
        <v>76</v>
      </c>
      <c r="C3" s="389" t="str">
        <f>'2.WeanedCalf to Sell Bred Heif '!F5</f>
        <v>Sexed Semen AI</v>
      </c>
      <c r="D3" s="177"/>
      <c r="E3" s="177"/>
      <c r="F3" s="177"/>
      <c r="H3" s="177"/>
    </row>
    <row r="4" spans="2:16" ht="15.45" x14ac:dyDescent="0.4">
      <c r="B4" s="3" t="s">
        <v>330</v>
      </c>
      <c r="C4" s="467">
        <f>'2.WeanedCalf to Sell Bred Heif '!E17</f>
        <v>96</v>
      </c>
      <c r="F4" s="177"/>
      <c r="H4" s="177"/>
    </row>
    <row r="5" spans="2:16" ht="15.45" x14ac:dyDescent="0.4">
      <c r="B5" s="3"/>
      <c r="C5" s="177" t="s">
        <v>298</v>
      </c>
      <c r="E5" s="177" t="s">
        <v>387</v>
      </c>
      <c r="J5" s="22" t="s">
        <v>301</v>
      </c>
      <c r="L5" s="177"/>
    </row>
    <row r="6" spans="2:16" ht="15.45" x14ac:dyDescent="0.4">
      <c r="B6" s="3" t="s">
        <v>388</v>
      </c>
      <c r="C6" s="208">
        <v>25</v>
      </c>
      <c r="E6" s="318">
        <v>4</v>
      </c>
      <c r="J6" s="3">
        <f>IF(C6=0,0,C4/C6)</f>
        <v>3.84</v>
      </c>
      <c r="L6" s="177"/>
      <c r="M6" s="378" t="s">
        <v>284</v>
      </c>
      <c r="N6" s="377"/>
      <c r="O6" s="377"/>
      <c r="P6" s="377"/>
    </row>
    <row r="7" spans="2:16" ht="15" x14ac:dyDescent="0.35">
      <c r="F7" s="74"/>
      <c r="H7" s="74"/>
    </row>
    <row r="8" spans="2:16" ht="15.45" x14ac:dyDescent="0.4">
      <c r="B8" s="3" t="s">
        <v>151</v>
      </c>
      <c r="C8" s="6" t="s">
        <v>6</v>
      </c>
      <c r="D8" s="352">
        <f>'2.WeanedCalf to Sell Bred Heif '!G19*0.01</f>
        <v>0.88</v>
      </c>
      <c r="E8" s="74"/>
      <c r="F8" s="74"/>
      <c r="H8" s="74"/>
      <c r="J8" s="36">
        <f>'2.WeanedCalf to Sell Bred Heif '!E17</f>
        <v>96</v>
      </c>
      <c r="K8" t="s">
        <v>94</v>
      </c>
    </row>
    <row r="9" spans="2:16" ht="15.45" x14ac:dyDescent="0.4">
      <c r="B9" s="66"/>
      <c r="C9" s="65"/>
      <c r="D9" s="191" t="s">
        <v>21</v>
      </c>
      <c r="E9" s="191"/>
      <c r="J9" s="36">
        <f>J8*D8</f>
        <v>84.48</v>
      </c>
      <c r="K9" t="s">
        <v>452</v>
      </c>
    </row>
    <row r="10" spans="2:16" ht="15.45" x14ac:dyDescent="0.4">
      <c r="B10" s="2" t="s">
        <v>145</v>
      </c>
      <c r="C10" s="56" t="s">
        <v>350</v>
      </c>
      <c r="D10" s="73">
        <f>+D8*C4*0.5</f>
        <v>42.24</v>
      </c>
      <c r="E10" s="111"/>
      <c r="J10" s="36">
        <f>J8-J9</f>
        <v>11.519999999999996</v>
      </c>
      <c r="K10" t="s">
        <v>475</v>
      </c>
    </row>
    <row r="11" spans="2:16" ht="15.45" x14ac:dyDescent="0.4">
      <c r="B11" s="66"/>
      <c r="C11" s="56" t="s">
        <v>389</v>
      </c>
      <c r="D11" s="73">
        <f>D10</f>
        <v>42.24</v>
      </c>
      <c r="E11" s="111"/>
      <c r="J11" s="1" t="s">
        <v>346</v>
      </c>
    </row>
    <row r="12" spans="2:16" ht="15.45" x14ac:dyDescent="0.4">
      <c r="B12" s="3"/>
      <c r="C12" s="46" t="s">
        <v>80</v>
      </c>
      <c r="D12" s="38">
        <f>D10+D11</f>
        <v>84.48</v>
      </c>
      <c r="E12" s="342"/>
      <c r="F12" s="78"/>
      <c r="H12" s="36"/>
      <c r="J12" s="7">
        <f>$C$4-D12</f>
        <v>11.519999999999996</v>
      </c>
    </row>
    <row r="13" spans="2:16" ht="15" x14ac:dyDescent="0.35">
      <c r="B13" s="86" t="s">
        <v>83</v>
      </c>
      <c r="C13" s="86"/>
      <c r="D13" s="86"/>
      <c r="E13" s="86"/>
      <c r="F13" s="86"/>
      <c r="G13" s="86"/>
      <c r="H13" s="86"/>
      <c r="I13" s="360"/>
      <c r="J13" s="70"/>
    </row>
    <row r="14" spans="2:16" ht="15.45" x14ac:dyDescent="0.4">
      <c r="C14" s="383" t="s">
        <v>94</v>
      </c>
      <c r="D14" s="376" t="s">
        <v>85</v>
      </c>
      <c r="E14" s="87"/>
      <c r="F14" s="376" t="s">
        <v>169</v>
      </c>
      <c r="G14" s="376" t="s">
        <v>6</v>
      </c>
      <c r="H14" s="56"/>
      <c r="I14" s="376" t="s">
        <v>100</v>
      </c>
    </row>
    <row r="15" spans="2:16" ht="17.600000000000001" x14ac:dyDescent="0.4">
      <c r="B15" s="68"/>
      <c r="C15" s="3" t="s">
        <v>375</v>
      </c>
      <c r="D15" s="376" t="s">
        <v>86</v>
      </c>
      <c r="E15" s="89" t="s">
        <v>87</v>
      </c>
      <c r="F15" s="376" t="s">
        <v>88</v>
      </c>
      <c r="G15" s="376" t="s">
        <v>89</v>
      </c>
      <c r="H15" s="376" t="s">
        <v>80</v>
      </c>
      <c r="I15" s="376" t="s">
        <v>306</v>
      </c>
    </row>
    <row r="16" spans="2:16" ht="15.45" x14ac:dyDescent="0.4">
      <c r="B16" s="3" t="s">
        <v>84</v>
      </c>
      <c r="C16" s="384">
        <f>C4</f>
        <v>96</v>
      </c>
      <c r="D16" s="376"/>
      <c r="E16" s="89"/>
      <c r="F16" s="376"/>
      <c r="G16" s="2"/>
      <c r="H16" s="376"/>
    </row>
    <row r="17" spans="2:12" ht="15.45" x14ac:dyDescent="0.4">
      <c r="B17" s="3" t="s">
        <v>348</v>
      </c>
      <c r="C17" s="88" t="s">
        <v>86</v>
      </c>
      <c r="D17" s="376"/>
      <c r="E17" s="89"/>
      <c r="F17" s="376"/>
      <c r="G17" s="2"/>
      <c r="H17" s="376"/>
    </row>
    <row r="18" spans="2:12" ht="15" x14ac:dyDescent="0.35">
      <c r="B18" s="348" t="s">
        <v>331</v>
      </c>
      <c r="C18" s="9" t="s">
        <v>21</v>
      </c>
      <c r="D18" s="379">
        <v>100</v>
      </c>
      <c r="E18" s="211">
        <v>5</v>
      </c>
      <c r="F18" s="90">
        <f>IF($C$16=0,0,I18/$C$16)</f>
        <v>5.208333333333333</v>
      </c>
      <c r="G18" s="61">
        <f>IF($I$24=0,0,I18/$I$28)</f>
        <v>5.4077438892494049E-2</v>
      </c>
      <c r="H18" s="91">
        <f>IF($C$18=0,0,D18*E18)</f>
        <v>500</v>
      </c>
      <c r="I18" s="380">
        <f>IF(C4=0,0,D18*E18)</f>
        <v>500</v>
      </c>
    </row>
    <row r="19" spans="2:12" ht="15.45" x14ac:dyDescent="0.4">
      <c r="B19" s="348" t="s">
        <v>92</v>
      </c>
      <c r="C19" s="211" t="s">
        <v>21</v>
      </c>
      <c r="D19" s="53">
        <f>$C$16</f>
        <v>96</v>
      </c>
      <c r="E19" s="211">
        <v>0</v>
      </c>
      <c r="F19" s="90">
        <f t="shared" ref="F19:F26" si="0">IF($C$16=0,0,I19/$C$16)</f>
        <v>0</v>
      </c>
      <c r="G19" s="61">
        <f t="shared" ref="G19:G24" si="1">IF($I$24=0,0,I19/$I$28)</f>
        <v>0</v>
      </c>
      <c r="H19" s="91">
        <f t="shared" ref="H19" si="2">IF($C$18=0,0,D19*E19)</f>
        <v>0</v>
      </c>
      <c r="I19" s="380">
        <f t="shared" ref="I19:I23" si="3">D19*E19</f>
        <v>0</v>
      </c>
      <c r="J19" s="3"/>
      <c r="K19" s="5"/>
      <c r="L19" s="199"/>
    </row>
    <row r="20" spans="2:12" ht="15" x14ac:dyDescent="0.35">
      <c r="B20" s="348" t="s">
        <v>92</v>
      </c>
      <c r="C20" s="211" t="s">
        <v>21</v>
      </c>
      <c r="D20" s="53">
        <f t="shared" ref="D20:D23" si="4">$C$16</f>
        <v>96</v>
      </c>
      <c r="E20" s="211">
        <v>0</v>
      </c>
      <c r="F20" s="90">
        <f t="shared" si="0"/>
        <v>0</v>
      </c>
      <c r="G20" s="61">
        <f t="shared" si="1"/>
        <v>0</v>
      </c>
      <c r="I20" s="380">
        <f t="shared" si="3"/>
        <v>0</v>
      </c>
    </row>
    <row r="21" spans="2:12" ht="15" x14ac:dyDescent="0.35">
      <c r="B21" s="348" t="s">
        <v>92</v>
      </c>
      <c r="C21" s="211" t="s">
        <v>21</v>
      </c>
      <c r="D21" s="53">
        <f t="shared" si="4"/>
        <v>96</v>
      </c>
      <c r="E21" s="211">
        <v>0</v>
      </c>
      <c r="F21" s="90">
        <f t="shared" si="0"/>
        <v>0</v>
      </c>
      <c r="G21" s="61">
        <f t="shared" si="1"/>
        <v>0</v>
      </c>
      <c r="I21" s="380">
        <f t="shared" si="3"/>
        <v>0</v>
      </c>
    </row>
    <row r="22" spans="2:12" ht="15" x14ac:dyDescent="0.35">
      <c r="B22" s="20" t="s">
        <v>134</v>
      </c>
      <c r="C22" s="211" t="s">
        <v>21</v>
      </c>
      <c r="D22" s="53">
        <f t="shared" si="4"/>
        <v>96</v>
      </c>
      <c r="E22" s="211">
        <v>12</v>
      </c>
      <c r="F22" s="90">
        <f t="shared" si="0"/>
        <v>12</v>
      </c>
      <c r="G22" s="61">
        <f t="shared" si="1"/>
        <v>0.1245944192083063</v>
      </c>
      <c r="I22" s="380">
        <f t="shared" si="3"/>
        <v>1152</v>
      </c>
    </row>
    <row r="23" spans="2:12" ht="15" x14ac:dyDescent="0.35">
      <c r="B23" s="2" t="s">
        <v>91</v>
      </c>
      <c r="C23" s="211" t="s">
        <v>21</v>
      </c>
      <c r="D23" s="53">
        <f t="shared" si="4"/>
        <v>96</v>
      </c>
      <c r="E23" s="211">
        <v>5</v>
      </c>
      <c r="F23" s="90">
        <f t="shared" si="0"/>
        <v>5</v>
      </c>
      <c r="G23" s="61">
        <f t="shared" si="1"/>
        <v>5.191434133679429E-2</v>
      </c>
      <c r="I23" s="380">
        <f t="shared" si="3"/>
        <v>480</v>
      </c>
    </row>
    <row r="24" spans="2:12" ht="15.45" x14ac:dyDescent="0.4">
      <c r="B24" s="93" t="s">
        <v>370</v>
      </c>
      <c r="C24" s="348"/>
      <c r="D24" s="71"/>
      <c r="E24" s="199"/>
      <c r="F24" s="104">
        <f t="shared" si="0"/>
        <v>22.208333333333332</v>
      </c>
      <c r="G24" s="111">
        <f t="shared" si="1"/>
        <v>0.23058619943759465</v>
      </c>
      <c r="I24" s="26">
        <f>SUM(I18:I23)</f>
        <v>2132</v>
      </c>
    </row>
    <row r="25" spans="2:12" x14ac:dyDescent="0.3">
      <c r="B25" s="52"/>
      <c r="C25" s="52"/>
    </row>
    <row r="26" spans="2:12" ht="15.45" x14ac:dyDescent="0.4">
      <c r="B26" s="5" t="s">
        <v>371</v>
      </c>
      <c r="C26" s="183"/>
      <c r="F26" s="104">
        <f t="shared" si="0"/>
        <v>74.104166666666671</v>
      </c>
      <c r="G26" s="111">
        <f t="shared" ref="G26" si="5">IF($I$24=0,0,I26/$I$28)</f>
        <v>0.76941380056240538</v>
      </c>
      <c r="I26" s="26">
        <f>D37+D38</f>
        <v>7114</v>
      </c>
    </row>
    <row r="27" spans="2:12" ht="15.45" x14ac:dyDescent="0.4">
      <c r="B27" s="75"/>
      <c r="C27" s="83"/>
      <c r="D27" s="75"/>
      <c r="E27" s="83"/>
      <c r="F27" s="69"/>
      <c r="H27" s="69"/>
    </row>
    <row r="28" spans="2:12" ht="15.45" x14ac:dyDescent="0.4">
      <c r="B28" s="225" t="s">
        <v>361</v>
      </c>
      <c r="C28" s="365"/>
      <c r="D28" s="366">
        <f>C4</f>
        <v>96</v>
      </c>
      <c r="E28" s="334"/>
      <c r="F28" s="367">
        <f>IF(D28=0,0,I28/D28)</f>
        <v>96.3125</v>
      </c>
      <c r="G28" s="334"/>
      <c r="H28" s="335" t="e">
        <f>H25+#REF!</f>
        <v>#REF!</v>
      </c>
      <c r="I28" s="295">
        <f>I26+I24</f>
        <v>9246</v>
      </c>
    </row>
    <row r="29" spans="2:12" ht="15" x14ac:dyDescent="0.35">
      <c r="B29" s="79"/>
      <c r="C29" s="22"/>
      <c r="D29" s="79"/>
      <c r="E29" s="79"/>
      <c r="G29" s="107"/>
    </row>
    <row r="30" spans="2:12" ht="15.45" x14ac:dyDescent="0.4">
      <c r="B30" s="369" t="s">
        <v>362</v>
      </c>
      <c r="C30" s="145"/>
      <c r="D30" s="370">
        <f>D12</f>
        <v>84.48</v>
      </c>
      <c r="E30" s="369"/>
      <c r="F30" s="381">
        <f>IF(D30=0,0,I28/D30)</f>
        <v>109.44602272727272</v>
      </c>
      <c r="I30" s="385"/>
    </row>
    <row r="31" spans="2:12" ht="15.45" x14ac:dyDescent="0.4">
      <c r="B31" s="85" t="s">
        <v>373</v>
      </c>
      <c r="C31" s="109"/>
      <c r="D31" s="372"/>
      <c r="E31" s="85"/>
      <c r="F31" s="70"/>
      <c r="G31" s="373"/>
      <c r="H31" s="70"/>
    </row>
    <row r="32" spans="2:12" x14ac:dyDescent="0.3">
      <c r="B32" s="22" t="s">
        <v>363</v>
      </c>
    </row>
    <row r="33" spans="2:10" ht="14.15" x14ac:dyDescent="0.35">
      <c r="B33" s="22"/>
      <c r="E33" s="23" t="s">
        <v>379</v>
      </c>
    </row>
    <row r="34" spans="2:10" ht="15.45" x14ac:dyDescent="0.4">
      <c r="B34" s="183"/>
      <c r="D34" s="3" t="s">
        <v>374</v>
      </c>
      <c r="E34" s="23" t="s">
        <v>380</v>
      </c>
      <c r="F34" s="3" t="s">
        <v>170</v>
      </c>
    </row>
    <row r="35" spans="2:10" ht="15.45" x14ac:dyDescent="0.4">
      <c r="B35" s="5"/>
      <c r="C35" s="376" t="s">
        <v>288</v>
      </c>
      <c r="D35" s="376">
        <f>E6</f>
        <v>4</v>
      </c>
      <c r="E35" s="382">
        <f>C4</f>
        <v>96</v>
      </c>
      <c r="F35" s="382">
        <f>D12</f>
        <v>84.48</v>
      </c>
    </row>
    <row r="36" spans="2:10" ht="15.45" x14ac:dyDescent="0.4">
      <c r="B36" s="2"/>
      <c r="C36" s="376" t="s">
        <v>306</v>
      </c>
      <c r="D36" s="3" t="s">
        <v>305</v>
      </c>
      <c r="E36" s="386" t="s">
        <v>302</v>
      </c>
      <c r="F36" s="67" t="s">
        <v>381</v>
      </c>
    </row>
    <row r="37" spans="2:10" ht="15" x14ac:dyDescent="0.35">
      <c r="B37" s="23" t="s">
        <v>291</v>
      </c>
      <c r="C37" s="25">
        <f>'6. Bull Cost'!E32</f>
        <v>1630</v>
      </c>
      <c r="D37" s="25">
        <f>'6. Bull Cost'!E32*$E$6</f>
        <v>6520</v>
      </c>
      <c r="E37" s="307">
        <f>IF($E$35=0,0,D37/$C$4)</f>
        <v>67.916666666666671</v>
      </c>
      <c r="F37" s="10">
        <f>IF($F$35=0,0,D37/$D$12)</f>
        <v>77.178030303030297</v>
      </c>
    </row>
    <row r="38" spans="2:10" ht="15" x14ac:dyDescent="0.35">
      <c r="B38" s="23" t="s">
        <v>372</v>
      </c>
      <c r="C38" s="25">
        <f>'6. Bull Cost'!E34</f>
        <v>148.5</v>
      </c>
      <c r="D38" s="25">
        <f>'6. Bull Cost'!E34*$E$6</f>
        <v>594</v>
      </c>
      <c r="E38" s="307">
        <f>IF($E$35=0,0,D38/$C$4)</f>
        <v>6.1875</v>
      </c>
      <c r="F38" s="10">
        <f>IF($F$35=0,0,D38/$D$12)</f>
        <v>7.03125</v>
      </c>
      <c r="I38" s="51"/>
      <c r="J38" s="27"/>
    </row>
    <row r="39" spans="2:10" ht="15" x14ac:dyDescent="0.35">
      <c r="B39" s="23" t="s">
        <v>376</v>
      </c>
      <c r="C39" s="25">
        <f>'6. Bull Cost'!E33</f>
        <v>19.375</v>
      </c>
      <c r="D39" s="25">
        <f>'6. Bull Cost'!E33*$E$6</f>
        <v>77.5</v>
      </c>
      <c r="E39" s="307">
        <f>IF($E$35=0,0,D39/$C$4)</f>
        <v>0.80729166666666663</v>
      </c>
      <c r="F39" s="10">
        <f>IF($F$35=0,0,D39/$D$12)</f>
        <v>0.91737689393939392</v>
      </c>
    </row>
    <row r="41" spans="2:10" ht="15.45" x14ac:dyDescent="0.4">
      <c r="B41" s="3" t="s">
        <v>382</v>
      </c>
      <c r="C41" s="26">
        <f>SUM(C37:C39)</f>
        <v>1797.875</v>
      </c>
      <c r="D41" s="26">
        <f>SUM(D37:D39)</f>
        <v>7191.5</v>
      </c>
      <c r="E41" s="321">
        <f>IF($E$35=0,0,D41/$C$4)</f>
        <v>74.911458333333329</v>
      </c>
      <c r="F41" s="67">
        <f>IF($F$35=0,0,D41/$D$12)</f>
        <v>85.126657196969688</v>
      </c>
    </row>
    <row r="42" spans="2:10" ht="15.45" x14ac:dyDescent="0.4">
      <c r="B42" s="3"/>
      <c r="C42" s="67"/>
      <c r="D42" s="67"/>
      <c r="E42" s="307"/>
      <c r="F42" s="10"/>
    </row>
    <row r="43" spans="2:10" ht="15.45" x14ac:dyDescent="0.4">
      <c r="C43" s="3" t="s">
        <v>327</v>
      </c>
      <c r="D43" s="3" t="s">
        <v>377</v>
      </c>
      <c r="E43" s="3" t="s">
        <v>378</v>
      </c>
      <c r="F43" s="51"/>
    </row>
    <row r="44" spans="2:10" ht="15.45" x14ac:dyDescent="0.4">
      <c r="B44" s="3" t="s">
        <v>307</v>
      </c>
      <c r="C44" s="17">
        <f>'6. Bull Cost'!F38</f>
        <v>2970</v>
      </c>
      <c r="D44" s="17">
        <f>D35*C44</f>
        <v>11880</v>
      </c>
      <c r="E44" s="321">
        <f>IF($E$35=0,0,D44/$C$4)</f>
        <v>123.75</v>
      </c>
      <c r="F44" s="67">
        <f>IF($F$35=0,0,D44/$D$12)</f>
        <v>140.625</v>
      </c>
    </row>
  </sheetData>
  <sheetProtection sheet="1" objects="1" scenarios="1"/>
  <mergeCells count="1">
    <mergeCell ref="B1:I1"/>
  </mergeCells>
  <phoneticPr fontId="25" type="noConversion"/>
  <pageMargins left="0.95" right="0.45" top="0.75" bottom="0.75" header="0.3" footer="0.3"/>
  <pageSetup scale="77" orientation="portrait" r:id="rId1"/>
  <headerFoot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C5A51-A035-46F7-A911-D51DF7701D96}">
  <sheetPr>
    <pageSetUpPr fitToPage="1"/>
  </sheetPr>
  <dimension ref="B2:F41"/>
  <sheetViews>
    <sheetView topLeftCell="A3" workbookViewId="0">
      <selection activeCell="B2" sqref="B2:F2"/>
    </sheetView>
  </sheetViews>
  <sheetFormatPr defaultRowHeight="12.45" x14ac:dyDescent="0.3"/>
  <cols>
    <col min="1" max="1" width="4.23046875" customWidth="1"/>
    <col min="2" max="2" width="32.69140625" customWidth="1"/>
    <col min="3" max="3" width="14" customWidth="1"/>
    <col min="4" max="4" width="17.765625" customWidth="1"/>
    <col min="5" max="5" width="19.69140625" customWidth="1"/>
    <col min="6" max="6" width="16.23046875" customWidth="1"/>
  </cols>
  <sheetData>
    <row r="2" spans="2:6" ht="17.600000000000001" x14ac:dyDescent="0.4">
      <c r="B2" s="501" t="s">
        <v>408</v>
      </c>
      <c r="C2" s="494"/>
      <c r="D2" s="494"/>
      <c r="E2" s="494"/>
      <c r="F2" s="494"/>
    </row>
    <row r="5" spans="2:6" ht="15.45" x14ac:dyDescent="0.4">
      <c r="B5" s="3" t="s">
        <v>405</v>
      </c>
    </row>
    <row r="6" spans="2:6" ht="15.45" x14ac:dyDescent="0.4">
      <c r="B6" s="183"/>
      <c r="D6" s="3" t="s">
        <v>304</v>
      </c>
      <c r="E6" s="3" t="s">
        <v>303</v>
      </c>
      <c r="F6" s="3" t="s">
        <v>170</v>
      </c>
    </row>
    <row r="7" spans="2:6" ht="15.45" x14ac:dyDescent="0.4">
      <c r="B7" s="5" t="s">
        <v>21</v>
      </c>
      <c r="C7" s="399" t="s">
        <v>288</v>
      </c>
      <c r="D7" s="3">
        <f>'5. Sexed Semen AI Summary'!D62</f>
        <v>2</v>
      </c>
      <c r="E7" s="3">
        <f>'5. Sexed Semen AI Summary'!E62</f>
        <v>96</v>
      </c>
      <c r="F7" s="38">
        <f>'5. Sexed Semen AI Summary'!F62</f>
        <v>86.4</v>
      </c>
    </row>
    <row r="8" spans="2:6" ht="15.45" x14ac:dyDescent="0.4">
      <c r="B8" s="2"/>
      <c r="C8" s="399" t="s">
        <v>306</v>
      </c>
      <c r="D8" s="3" t="s">
        <v>402</v>
      </c>
      <c r="E8" s="67" t="s">
        <v>302</v>
      </c>
      <c r="F8" s="3" t="s">
        <v>398</v>
      </c>
    </row>
    <row r="9" spans="2:6" ht="15" x14ac:dyDescent="0.35">
      <c r="B9" s="23" t="s">
        <v>399</v>
      </c>
      <c r="C9" s="25">
        <f>'5. Sexed Semen AI Summary'!C64</f>
        <v>1630</v>
      </c>
      <c r="D9" s="25">
        <f>'5. Sexed Semen AI Summary'!D64</f>
        <v>3260</v>
      </c>
      <c r="E9" s="10">
        <f>'5. Sexed Semen AI Summary'!E64</f>
        <v>33.958333333333336</v>
      </c>
      <c r="F9" s="10">
        <f>'5. Sexed Semen AI Summary'!F64</f>
        <v>37.731481481481481</v>
      </c>
    </row>
    <row r="10" spans="2:6" ht="15" x14ac:dyDescent="0.35">
      <c r="B10" s="181" t="s">
        <v>400</v>
      </c>
      <c r="C10" s="25">
        <f>'5. Sexed Semen AI Summary'!C65</f>
        <v>19.375</v>
      </c>
      <c r="D10" s="25">
        <f>'5. Sexed Semen AI Summary'!D65</f>
        <v>38.75</v>
      </c>
      <c r="E10" s="10">
        <f>'5. Sexed Semen AI Summary'!E65</f>
        <v>0.40364583333333331</v>
      </c>
      <c r="F10" s="10">
        <f>'5. Sexed Semen AI Summary'!F65</f>
        <v>0.44849537037037035</v>
      </c>
    </row>
    <row r="11" spans="2:6" ht="15" x14ac:dyDescent="0.35">
      <c r="B11" s="181" t="s">
        <v>401</v>
      </c>
      <c r="C11" s="25">
        <f>'5. Sexed Semen AI Summary'!C66</f>
        <v>148.5</v>
      </c>
      <c r="D11" s="25">
        <f>'5. Sexed Semen AI Summary'!D66</f>
        <v>297</v>
      </c>
      <c r="E11" s="10">
        <f>'5. Sexed Semen AI Summary'!E66</f>
        <v>3.09375</v>
      </c>
      <c r="F11" s="10">
        <f>'5. Sexed Semen AI Summary'!F66</f>
        <v>3.4374999999999996</v>
      </c>
    </row>
    <row r="12" spans="2:6" ht="15.45" x14ac:dyDescent="0.4">
      <c r="B12" s="3" t="s">
        <v>100</v>
      </c>
      <c r="C12" s="26">
        <f>SUM(C9:C11)</f>
        <v>1797.875</v>
      </c>
      <c r="D12" s="26">
        <f>SUM(D9:D11)</f>
        <v>3595.75</v>
      </c>
      <c r="E12" s="67">
        <f>SUM(E9:E11)</f>
        <v>37.455729166666671</v>
      </c>
      <c r="F12" s="67">
        <f>SUM(F9:F11)</f>
        <v>41.617476851851855</v>
      </c>
    </row>
    <row r="13" spans="2:6" ht="15.45" x14ac:dyDescent="0.4">
      <c r="B13" s="3"/>
      <c r="C13" s="26"/>
      <c r="D13" s="26"/>
      <c r="E13" s="67"/>
      <c r="F13" s="67"/>
    </row>
    <row r="14" spans="2:6" ht="15.45" x14ac:dyDescent="0.4">
      <c r="C14" s="485" t="s">
        <v>342</v>
      </c>
      <c r="D14" s="485"/>
      <c r="E14" s="485"/>
      <c r="F14" s="485"/>
    </row>
    <row r="15" spans="2:6" ht="15.45" x14ac:dyDescent="0.4">
      <c r="B15" s="3" t="s">
        <v>404</v>
      </c>
      <c r="C15" s="17">
        <f>'5. Sexed Semen AI Summary'!C69</f>
        <v>2970</v>
      </c>
      <c r="D15" s="17">
        <f>D7*C15</f>
        <v>5940</v>
      </c>
      <c r="E15" s="321">
        <f>IF(E7=0,0,D15/E7)</f>
        <v>61.875</v>
      </c>
      <c r="F15" s="321">
        <f>IF(F7=0,0,D15/F7)</f>
        <v>68.75</v>
      </c>
    </row>
    <row r="16" spans="2:6" ht="15.45" x14ac:dyDescent="0.4">
      <c r="B16" s="22" t="s">
        <v>403</v>
      </c>
      <c r="C16" s="76"/>
      <c r="D16" s="22"/>
      <c r="E16" s="3"/>
      <c r="F16" s="23"/>
    </row>
    <row r="18" spans="2:6" x14ac:dyDescent="0.3">
      <c r="B18" s="22" t="s">
        <v>407</v>
      </c>
    </row>
    <row r="20" spans="2:6" ht="15.45" x14ac:dyDescent="0.4">
      <c r="B20" s="3" t="s">
        <v>406</v>
      </c>
    </row>
    <row r="21" spans="2:6" ht="15.45" x14ac:dyDescent="0.4">
      <c r="B21" s="183"/>
      <c r="D21" s="3" t="s">
        <v>304</v>
      </c>
      <c r="E21" s="3" t="s">
        <v>303</v>
      </c>
      <c r="F21" s="3" t="s">
        <v>170</v>
      </c>
    </row>
    <row r="22" spans="2:6" ht="15.45" x14ac:dyDescent="0.4">
      <c r="B22" s="5" t="s">
        <v>21</v>
      </c>
      <c r="C22" s="399" t="s">
        <v>288</v>
      </c>
      <c r="D22" s="3">
        <f>'7. Natural Service Cost'!D35</f>
        <v>4</v>
      </c>
      <c r="E22" s="3">
        <f>E7</f>
        <v>96</v>
      </c>
      <c r="F22" s="38">
        <f>F7</f>
        <v>86.4</v>
      </c>
    </row>
    <row r="23" spans="2:6" ht="15.45" x14ac:dyDescent="0.4">
      <c r="B23" s="2"/>
      <c r="C23" s="399" t="s">
        <v>306</v>
      </c>
      <c r="D23" s="3" t="s">
        <v>402</v>
      </c>
      <c r="E23" s="67" t="s">
        <v>302</v>
      </c>
      <c r="F23" s="3" t="s">
        <v>398</v>
      </c>
    </row>
    <row r="24" spans="2:6" ht="15" x14ac:dyDescent="0.35">
      <c r="B24" s="23" t="s">
        <v>399</v>
      </c>
      <c r="C24" s="25">
        <f>C9</f>
        <v>1630</v>
      </c>
      <c r="D24" s="25">
        <f>C24*$D$22</f>
        <v>6520</v>
      </c>
      <c r="E24" s="10">
        <f>D24/$E$22</f>
        <v>67.916666666666671</v>
      </c>
      <c r="F24" s="10">
        <f>D24/$F$22</f>
        <v>75.462962962962962</v>
      </c>
    </row>
    <row r="25" spans="2:6" ht="15" x14ac:dyDescent="0.35">
      <c r="B25" s="181" t="s">
        <v>400</v>
      </c>
      <c r="C25" s="25">
        <f t="shared" ref="C25:C27" si="0">C10</f>
        <v>19.375</v>
      </c>
      <c r="D25" s="25">
        <f t="shared" ref="D25:D27" si="1">C25*$D$22</f>
        <v>77.5</v>
      </c>
      <c r="E25" s="10">
        <f t="shared" ref="E25:E26" si="2">D25/$E$22</f>
        <v>0.80729166666666663</v>
      </c>
      <c r="F25" s="10">
        <f t="shared" ref="F25:F26" si="3">D25/$F$22</f>
        <v>0.8969907407407407</v>
      </c>
    </row>
    <row r="26" spans="2:6" ht="15" x14ac:dyDescent="0.35">
      <c r="B26" s="181" t="s">
        <v>401</v>
      </c>
      <c r="C26" s="25">
        <f t="shared" si="0"/>
        <v>148.5</v>
      </c>
      <c r="D26" s="25">
        <f t="shared" si="1"/>
        <v>594</v>
      </c>
      <c r="E26" s="10">
        <f t="shared" si="2"/>
        <v>6.1875</v>
      </c>
      <c r="F26" s="10">
        <f t="shared" si="3"/>
        <v>6.8749999999999991</v>
      </c>
    </row>
    <row r="27" spans="2:6" ht="15.45" x14ac:dyDescent="0.4">
      <c r="B27" s="3" t="s">
        <v>100</v>
      </c>
      <c r="C27" s="26">
        <f t="shared" si="0"/>
        <v>1797.875</v>
      </c>
      <c r="D27" s="26">
        <f t="shared" si="1"/>
        <v>7191.5</v>
      </c>
      <c r="E27" s="67">
        <f>SUM(E24:E26)</f>
        <v>74.911458333333343</v>
      </c>
      <c r="F27" s="67">
        <f>SUM(F24:F26)</f>
        <v>83.234953703703709</v>
      </c>
    </row>
    <row r="29" spans="2:6" ht="15.45" x14ac:dyDescent="0.4">
      <c r="C29" s="485" t="s">
        <v>342</v>
      </c>
      <c r="D29" s="485"/>
      <c r="E29" s="485"/>
      <c r="F29" s="485"/>
    </row>
    <row r="30" spans="2:6" ht="15.45" x14ac:dyDescent="0.4">
      <c r="B30" s="3" t="s">
        <v>404</v>
      </c>
      <c r="C30" s="17">
        <f>C15</f>
        <v>2970</v>
      </c>
      <c r="D30" s="17">
        <f>D22*C30</f>
        <v>11880</v>
      </c>
      <c r="E30" s="321">
        <f>IF(E22=0,0,D30/E22)</f>
        <v>123.75</v>
      </c>
      <c r="F30" s="321">
        <f>IF(F22=0,0,D30/F22)</f>
        <v>137.5</v>
      </c>
    </row>
    <row r="31" spans="2:6" ht="15.45" x14ac:dyDescent="0.4">
      <c r="B31" s="22" t="s">
        <v>403</v>
      </c>
      <c r="C31" s="76"/>
      <c r="D31" s="22"/>
      <c r="E31" s="3"/>
      <c r="F31" s="23"/>
    </row>
    <row r="33" spans="2:6" x14ac:dyDescent="0.3">
      <c r="B33" s="405" t="s">
        <v>409</v>
      </c>
    </row>
    <row r="34" spans="2:6" ht="15.45" x14ac:dyDescent="0.4">
      <c r="B34" s="3" t="s">
        <v>410</v>
      </c>
    </row>
    <row r="36" spans="2:6" ht="15.45" x14ac:dyDescent="0.4">
      <c r="B36" s="3" t="s">
        <v>320</v>
      </c>
      <c r="C36" s="2"/>
      <c r="D36" s="406"/>
      <c r="E36" s="406"/>
      <c r="F36" s="63">
        <f>'6. Bull Cost'!G24</f>
        <v>4500</v>
      </c>
    </row>
    <row r="37" spans="2:6" ht="15" x14ac:dyDescent="0.35">
      <c r="B37" s="2" t="s">
        <v>321</v>
      </c>
      <c r="C37" s="2"/>
      <c r="D37" s="406"/>
      <c r="E37" s="406"/>
      <c r="F37" s="406">
        <f>'6. Bull Cost'!G25</f>
        <v>4</v>
      </c>
    </row>
    <row r="38" spans="2:6" ht="15" x14ac:dyDescent="0.35">
      <c r="B38" s="2"/>
      <c r="C38" s="2"/>
      <c r="D38" s="359" t="s">
        <v>41</v>
      </c>
      <c r="E38" s="359" t="s">
        <v>42</v>
      </c>
      <c r="F38" s="359" t="s">
        <v>43</v>
      </c>
    </row>
    <row r="39" spans="2:6" ht="15" x14ac:dyDescent="0.35">
      <c r="B39" s="2" t="s">
        <v>44</v>
      </c>
      <c r="C39" s="2"/>
      <c r="D39" s="53">
        <f>'6. Bull Cost'!E27</f>
        <v>1800</v>
      </c>
      <c r="E39" s="167">
        <f>'6. Bull Cost'!F27</f>
        <v>80</v>
      </c>
      <c r="F39" s="21">
        <f>D39*E39*0.01</f>
        <v>1440</v>
      </c>
    </row>
    <row r="40" spans="2:6" ht="15" x14ac:dyDescent="0.35">
      <c r="B40" s="2" t="s">
        <v>411</v>
      </c>
    </row>
    <row r="41" spans="2:6" x14ac:dyDescent="0.3">
      <c r="B41" s="22" t="s">
        <v>403</v>
      </c>
      <c r="D41" s="253">
        <f>'6. Bull Cost'!E40</f>
        <v>2970</v>
      </c>
    </row>
  </sheetData>
  <sheetProtection sheet="1" objects="1" scenarios="1"/>
  <mergeCells count="3">
    <mergeCell ref="C14:F14"/>
    <mergeCell ref="C29:F29"/>
    <mergeCell ref="B2:F2"/>
  </mergeCells>
  <pageMargins left="0.95" right="0.45" top="0.75" bottom="0.75" header="0.3" footer="0.3"/>
  <pageSetup scale="92" orientation="portrait" horizontalDpi="4294967295" verticalDpi="4294967295"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956E4-DD36-41B1-8FF9-08815FF5D175}">
  <sheetPr>
    <pageSetUpPr fitToPage="1"/>
  </sheetPr>
  <dimension ref="B1:L72"/>
  <sheetViews>
    <sheetView topLeftCell="A27" workbookViewId="0">
      <selection activeCell="F76" sqref="F76"/>
    </sheetView>
  </sheetViews>
  <sheetFormatPr defaultRowHeight="12.45" x14ac:dyDescent="0.3"/>
  <cols>
    <col min="1" max="1" width="2" customWidth="1"/>
    <col min="2" max="2" width="5.15234375" customWidth="1"/>
    <col min="3" max="3" width="22.69140625" customWidth="1"/>
    <col min="4" max="4" width="16.3046875" customWidth="1"/>
    <col min="5" max="5" width="15" customWidth="1"/>
    <col min="6" max="6" width="13.3828125" customWidth="1"/>
    <col min="7" max="7" width="11.69140625" customWidth="1"/>
    <col min="8" max="8" width="14.3828125" customWidth="1"/>
    <col min="9" max="9" width="13" customWidth="1"/>
    <col min="10" max="10" width="15.23046875" customWidth="1"/>
    <col min="11" max="11" width="11.69140625" customWidth="1"/>
  </cols>
  <sheetData>
    <row r="1" spans="2:11" ht="15.45" x14ac:dyDescent="0.4">
      <c r="C1" s="485" t="s">
        <v>435</v>
      </c>
      <c r="D1" s="494"/>
      <c r="E1" s="494"/>
      <c r="F1" s="494"/>
      <c r="G1" s="494"/>
      <c r="H1" s="494"/>
      <c r="I1" s="494"/>
      <c r="J1" s="494"/>
      <c r="K1" s="492"/>
    </row>
    <row r="2" spans="2:11" ht="15.45" x14ac:dyDescent="0.4">
      <c r="G2" s="418"/>
      <c r="H2" s="418"/>
      <c r="I2" s="420"/>
      <c r="J2" s="420"/>
    </row>
    <row r="3" spans="2:11" ht="15.45" x14ac:dyDescent="0.4">
      <c r="C3" s="511" t="s">
        <v>436</v>
      </c>
      <c r="D3" s="512"/>
      <c r="E3" s="512"/>
      <c r="F3" s="512"/>
      <c r="G3" s="492"/>
      <c r="H3" s="492"/>
      <c r="I3" s="420"/>
      <c r="J3" s="420"/>
    </row>
    <row r="4" spans="2:11" ht="15" x14ac:dyDescent="0.35">
      <c r="C4" s="56"/>
      <c r="D4" s="56" t="s">
        <v>437</v>
      </c>
      <c r="E4" s="56" t="s">
        <v>158</v>
      </c>
      <c r="F4" s="56" t="s">
        <v>79</v>
      </c>
      <c r="G4" s="56" t="s">
        <v>158</v>
      </c>
    </row>
    <row r="5" spans="2:11" ht="15.45" x14ac:dyDescent="0.4">
      <c r="C5" s="418" t="s">
        <v>438</v>
      </c>
      <c r="D5" s="56" t="s">
        <v>82</v>
      </c>
      <c r="E5" s="56" t="s">
        <v>82</v>
      </c>
      <c r="F5" s="56" t="s">
        <v>82</v>
      </c>
      <c r="G5" s="56" t="s">
        <v>82</v>
      </c>
    </row>
    <row r="6" spans="2:11" ht="15.45" x14ac:dyDescent="0.4">
      <c r="C6" s="382">
        <f>'2.WeanedCalf to Sell Bred Heif '!E17</f>
        <v>96</v>
      </c>
      <c r="D6" s="268" t="s">
        <v>6</v>
      </c>
      <c r="E6" s="56" t="s">
        <v>21</v>
      </c>
      <c r="F6" s="56" t="s">
        <v>21</v>
      </c>
      <c r="G6" s="418" t="s">
        <v>439</v>
      </c>
      <c r="H6" s="2"/>
    </row>
    <row r="7" spans="2:11" ht="15.45" x14ac:dyDescent="0.4">
      <c r="C7" s="421" t="s">
        <v>474</v>
      </c>
      <c r="H7" s="2" t="s">
        <v>170</v>
      </c>
    </row>
    <row r="8" spans="2:11" ht="15.45" x14ac:dyDescent="0.4">
      <c r="B8" s="418">
        <v>1</v>
      </c>
      <c r="C8" s="2" t="s">
        <v>440</v>
      </c>
      <c r="D8" s="61">
        <f>'4.SexedSemen AI BreedingCost'!D9*0.01</f>
        <v>0.9</v>
      </c>
      <c r="E8" s="422">
        <f>'4.SexedSemen AI BreedingCost'!D20</f>
        <v>51.84</v>
      </c>
      <c r="F8" s="7">
        <f>'4.SexedSemen AI BreedingCost'!F20</f>
        <v>34.56</v>
      </c>
      <c r="G8" s="61">
        <f>IF(E8=0,0,(E8/(E8+F8)))</f>
        <v>0.6</v>
      </c>
      <c r="H8" s="7">
        <f>E8+F8</f>
        <v>86.4</v>
      </c>
    </row>
    <row r="9" spans="2:11" ht="15.45" x14ac:dyDescent="0.4">
      <c r="B9" s="418">
        <v>2</v>
      </c>
      <c r="C9" s="2" t="s">
        <v>441</v>
      </c>
      <c r="D9" s="61">
        <f>'4.SexedSemen AI BreedingCost'!D60*0.01</f>
        <v>0.9</v>
      </c>
      <c r="E9" s="7">
        <f>'4.SexedSemen AI BreedingCost'!D71</f>
        <v>47.52</v>
      </c>
      <c r="F9" s="7">
        <f>'4.SexedSemen AI BreedingCost'!F71</f>
        <v>38.880000000000003</v>
      </c>
      <c r="G9" s="61">
        <f>IF(E9=0,0,(E9/(E9+F9)))</f>
        <v>0.55000000000000004</v>
      </c>
      <c r="H9" s="7">
        <f>E9+F9</f>
        <v>86.4</v>
      </c>
    </row>
    <row r="10" spans="2:11" ht="15.45" x14ac:dyDescent="0.4">
      <c r="B10" s="418"/>
      <c r="C10" s="2"/>
      <c r="D10" s="2"/>
      <c r="E10" s="2"/>
      <c r="F10" s="2"/>
      <c r="G10" s="2"/>
      <c r="H10" s="2"/>
    </row>
    <row r="11" spans="2:11" ht="15.45" x14ac:dyDescent="0.4">
      <c r="B11" s="418"/>
      <c r="C11" s="2"/>
      <c r="D11" s="2"/>
      <c r="E11" s="2"/>
      <c r="F11" s="2"/>
      <c r="G11" s="2"/>
      <c r="H11" s="2"/>
    </row>
    <row r="12" spans="2:11" ht="15.45" x14ac:dyDescent="0.4">
      <c r="B12" s="418">
        <v>3</v>
      </c>
      <c r="C12" s="3" t="s">
        <v>433</v>
      </c>
      <c r="D12" s="111">
        <f>'7. Natural Service Cost'!D8</f>
        <v>0.88</v>
      </c>
      <c r="E12" s="2"/>
      <c r="F12" s="7">
        <f>'7. Natural Service Cost'!D12</f>
        <v>84.48</v>
      </c>
      <c r="G12" s="61">
        <f t="shared" ref="G12" si="0">IF(E12=0,0,(E12/(E12+F12)))</f>
        <v>0</v>
      </c>
      <c r="H12" s="7">
        <f>'7. Natural Service Cost'!D12</f>
        <v>84.48</v>
      </c>
    </row>
    <row r="13" spans="2:11" ht="15" x14ac:dyDescent="0.35">
      <c r="C13" s="2" t="s">
        <v>442</v>
      </c>
      <c r="D13" s="2"/>
      <c r="E13" s="2"/>
      <c r="F13" s="2"/>
      <c r="G13" s="2"/>
      <c r="H13" s="2"/>
      <c r="I13" s="2"/>
      <c r="J13" s="2"/>
    </row>
    <row r="14" spans="2:11" ht="15" x14ac:dyDescent="0.35">
      <c r="D14" s="2"/>
      <c r="E14" s="2"/>
      <c r="F14" s="2"/>
      <c r="G14" s="2"/>
      <c r="H14" s="2"/>
      <c r="I14" s="2"/>
      <c r="J14" s="2"/>
    </row>
    <row r="15" spans="2:11" ht="15.45" x14ac:dyDescent="0.4">
      <c r="C15" s="511" t="s">
        <v>443</v>
      </c>
      <c r="D15" s="512"/>
      <c r="E15" s="512"/>
      <c r="F15" s="512"/>
      <c r="G15" s="492"/>
      <c r="H15" s="492"/>
      <c r="I15" s="2"/>
      <c r="J15" s="2"/>
    </row>
    <row r="16" spans="2:11" ht="15.45" x14ac:dyDescent="0.4">
      <c r="C16" s="22"/>
      <c r="D16" s="3" t="s">
        <v>444</v>
      </c>
      <c r="E16" s="3"/>
      <c r="F16" s="3"/>
      <c r="G16" s="2"/>
      <c r="H16" s="3" t="s">
        <v>445</v>
      </c>
      <c r="I16" s="3"/>
      <c r="J16" s="3"/>
    </row>
    <row r="17" spans="2:12" ht="15" x14ac:dyDescent="0.35">
      <c r="C17" s="22"/>
      <c r="D17" s="56" t="s">
        <v>446</v>
      </c>
      <c r="E17" s="56" t="s">
        <v>386</v>
      </c>
      <c r="F17" s="56" t="s">
        <v>80</v>
      </c>
      <c r="G17" s="56"/>
      <c r="H17" s="56" t="s">
        <v>446</v>
      </c>
      <c r="I17" s="56" t="s">
        <v>386</v>
      </c>
      <c r="J17" s="56" t="s">
        <v>80</v>
      </c>
    </row>
    <row r="18" spans="2:12" ht="15.45" x14ac:dyDescent="0.4">
      <c r="C18" s="418" t="s">
        <v>438</v>
      </c>
      <c r="D18" s="56" t="s">
        <v>306</v>
      </c>
      <c r="E18" s="56" t="s">
        <v>447</v>
      </c>
      <c r="F18" s="423" t="s">
        <v>448</v>
      </c>
      <c r="G18" s="56"/>
      <c r="H18" s="56" t="s">
        <v>306</v>
      </c>
      <c r="I18" s="56" t="s">
        <v>447</v>
      </c>
      <c r="J18" s="423" t="s">
        <v>448</v>
      </c>
    </row>
    <row r="19" spans="2:12" ht="15.45" x14ac:dyDescent="0.4">
      <c r="C19" s="382">
        <f>C6</f>
        <v>96</v>
      </c>
      <c r="D19" s="56" t="s">
        <v>1</v>
      </c>
      <c r="E19" s="56" t="s">
        <v>1</v>
      </c>
      <c r="F19" s="56" t="s">
        <v>1</v>
      </c>
      <c r="G19" s="56"/>
      <c r="H19" s="56" t="s">
        <v>1</v>
      </c>
      <c r="I19" s="56" t="s">
        <v>1</v>
      </c>
      <c r="J19" s="56" t="s">
        <v>1</v>
      </c>
    </row>
    <row r="20" spans="2:12" ht="15.45" x14ac:dyDescent="0.4">
      <c r="C20" s="3" t="str">
        <f>C7</f>
        <v>Sexed Semen AI</v>
      </c>
      <c r="E20" s="2"/>
      <c r="F20" s="2"/>
      <c r="G20" s="2"/>
      <c r="H20" s="2"/>
      <c r="I20" s="2"/>
      <c r="J20" s="2"/>
    </row>
    <row r="21" spans="2:12" ht="15.45" x14ac:dyDescent="0.4">
      <c r="B21" s="418">
        <v>1</v>
      </c>
      <c r="C21" s="2" t="s">
        <v>440</v>
      </c>
      <c r="D21" s="10">
        <f>'4.SexedSemen AI BreedingCost'!F43</f>
        <v>99.479166666666671</v>
      </c>
      <c r="E21" s="10">
        <f>'4.SexedSemen AI BreedingCost'!F46</f>
        <v>37.052083333333336</v>
      </c>
      <c r="F21" s="10">
        <f>D21+E21</f>
        <v>136.53125</v>
      </c>
      <c r="G21" s="67"/>
      <c r="H21" s="10">
        <f>'4.SexedSemen AI BreedingCost'!H43/'4.SexedSemen AI BreedingCost'!D51</f>
        <v>110.5324074074074</v>
      </c>
      <c r="I21" s="10">
        <f>J21-H21</f>
        <v>41.168981481481481</v>
      </c>
      <c r="J21" s="67">
        <f>'4.SexedSemen AI BreedingCost'!G51</f>
        <v>151.70138888888889</v>
      </c>
      <c r="L21" s="51"/>
    </row>
    <row r="22" spans="2:12" ht="15.45" x14ac:dyDescent="0.4">
      <c r="B22" s="418">
        <v>2</v>
      </c>
      <c r="C22" s="2" t="s">
        <v>441</v>
      </c>
      <c r="D22" s="10">
        <f>'4.SexedSemen AI BreedingCost'!F93</f>
        <v>75.291666666666657</v>
      </c>
      <c r="E22" s="10">
        <f>'4.SexedSemen AI BreedingCost'!F96</f>
        <v>37.052083333333336</v>
      </c>
      <c r="F22" s="10">
        <f>D22+E22</f>
        <v>112.34375</v>
      </c>
      <c r="G22" s="2"/>
      <c r="H22" s="10">
        <f>'4.SexedSemen AI BreedingCost'!H93/'4.SexedSemen AI BreedingCost'!D101</f>
        <v>83.657407407407405</v>
      </c>
      <c r="I22" s="10">
        <f>J22-H22</f>
        <v>41.168981481481481</v>
      </c>
      <c r="J22" s="67">
        <f>'4.SexedSemen AI BreedingCost'!G101</f>
        <v>124.82638888888889</v>
      </c>
      <c r="L22" s="51"/>
    </row>
    <row r="23" spans="2:12" ht="15.45" x14ac:dyDescent="0.4">
      <c r="B23" s="418"/>
      <c r="C23" s="2"/>
      <c r="D23" s="2"/>
      <c r="E23" s="2"/>
      <c r="F23" s="2"/>
      <c r="G23" s="2"/>
      <c r="H23" s="2"/>
      <c r="I23" s="2"/>
      <c r="J23" s="2"/>
    </row>
    <row r="24" spans="2:12" ht="15.45" x14ac:dyDescent="0.4">
      <c r="B24" s="418">
        <v>5</v>
      </c>
      <c r="C24" s="3" t="s">
        <v>433</v>
      </c>
      <c r="D24" s="10">
        <f>'7. Natural Service Cost'!F24</f>
        <v>22.208333333333332</v>
      </c>
      <c r="E24" s="10">
        <f>'7. Natural Service Cost'!F26</f>
        <v>74.104166666666671</v>
      </c>
      <c r="F24" s="10">
        <f>D24+E24</f>
        <v>96.3125</v>
      </c>
      <c r="G24" s="2"/>
      <c r="H24" s="10">
        <f>'7. Natural Service Cost'!F30</f>
        <v>109.44602272727272</v>
      </c>
      <c r="I24" s="424"/>
      <c r="J24" s="67">
        <f>'7. Natural Service Cost'!F30</f>
        <v>109.44602272727272</v>
      </c>
      <c r="L24" s="51"/>
    </row>
    <row r="25" spans="2:12" ht="15" x14ac:dyDescent="0.35">
      <c r="C25" s="22" t="s">
        <v>363</v>
      </c>
      <c r="D25" s="2"/>
      <c r="E25" s="2"/>
      <c r="F25" s="2"/>
      <c r="G25" s="2"/>
      <c r="H25" s="2"/>
      <c r="I25" s="2"/>
      <c r="J25" s="2"/>
    </row>
    <row r="26" spans="2:12" ht="15" x14ac:dyDescent="0.35">
      <c r="B26" s="22" t="s">
        <v>449</v>
      </c>
      <c r="C26" s="2" t="s">
        <v>442</v>
      </c>
      <c r="D26" s="2"/>
      <c r="E26" s="2"/>
      <c r="F26" s="2"/>
      <c r="G26" s="2"/>
      <c r="H26" s="2"/>
      <c r="I26" s="2"/>
      <c r="J26" s="2"/>
    </row>
    <row r="27" spans="2:12" ht="15.45" x14ac:dyDescent="0.4">
      <c r="C27" s="511" t="s">
        <v>450</v>
      </c>
      <c r="D27" s="512"/>
      <c r="E27" s="512"/>
      <c r="F27" s="512"/>
      <c r="G27" s="492"/>
      <c r="H27" s="492"/>
      <c r="I27" s="492"/>
      <c r="J27" s="2"/>
    </row>
    <row r="28" spans="2:12" ht="15" x14ac:dyDescent="0.35">
      <c r="D28" s="513" t="s">
        <v>451</v>
      </c>
      <c r="E28" s="486"/>
      <c r="F28" s="56" t="s">
        <v>452</v>
      </c>
      <c r="G28" s="2"/>
      <c r="H28" s="2"/>
      <c r="I28" s="2"/>
      <c r="J28" s="2"/>
    </row>
    <row r="29" spans="2:12" ht="15.45" x14ac:dyDescent="0.4">
      <c r="C29" s="418" t="s">
        <v>438</v>
      </c>
      <c r="D29" s="56" t="s">
        <v>453</v>
      </c>
      <c r="E29" s="56" t="s">
        <v>453</v>
      </c>
      <c r="F29" s="56" t="s">
        <v>389</v>
      </c>
      <c r="G29" s="2"/>
      <c r="H29" s="485" t="s">
        <v>213</v>
      </c>
      <c r="I29" s="494"/>
      <c r="J29" s="2"/>
    </row>
    <row r="30" spans="2:12" ht="15.45" x14ac:dyDescent="0.4">
      <c r="C30" s="382">
        <f>C6</f>
        <v>96</v>
      </c>
      <c r="D30" s="56" t="s">
        <v>21</v>
      </c>
      <c r="E30" s="56" t="s">
        <v>21</v>
      </c>
      <c r="F30" s="56" t="s">
        <v>21</v>
      </c>
      <c r="G30" s="2"/>
      <c r="H30" s="485" t="s">
        <v>454</v>
      </c>
      <c r="I30" s="494"/>
      <c r="J30" s="2"/>
    </row>
    <row r="31" spans="2:12" ht="15.45" x14ac:dyDescent="0.4">
      <c r="C31" s="3" t="str">
        <f>C20</f>
        <v>Sexed Semen AI</v>
      </c>
      <c r="D31" s="56" t="s">
        <v>455</v>
      </c>
      <c r="E31" s="56" t="s">
        <v>456</v>
      </c>
      <c r="F31" s="2" t="s">
        <v>457</v>
      </c>
      <c r="G31" s="418" t="s">
        <v>439</v>
      </c>
      <c r="H31" s="56" t="s">
        <v>1</v>
      </c>
      <c r="I31" s="418" t="s">
        <v>80</v>
      </c>
    </row>
    <row r="32" spans="2:12" ht="15.45" x14ac:dyDescent="0.4">
      <c r="B32" s="418">
        <v>1</v>
      </c>
      <c r="C32" s="2" t="s">
        <v>440</v>
      </c>
      <c r="D32" s="7">
        <f>'4.SexedSemen AI BreedingCost'!D18</f>
        <v>5.1840000000000011</v>
      </c>
      <c r="E32" s="7">
        <f>'4.SexedSemen AI BreedingCost'!D19</f>
        <v>46.656000000000006</v>
      </c>
      <c r="F32" s="7">
        <f>D32+E32</f>
        <v>51.84</v>
      </c>
      <c r="G32" s="219">
        <f>F32/$C$30</f>
        <v>0.54</v>
      </c>
      <c r="H32" s="17">
        <f>'2.WeanedCalf to Sell Bred Heif '!E24</f>
        <v>1450</v>
      </c>
      <c r="I32" s="17">
        <f>F32*H32</f>
        <v>75168</v>
      </c>
      <c r="J32" s="2"/>
    </row>
    <row r="33" spans="2:11" ht="15.45" x14ac:dyDescent="0.4">
      <c r="B33" s="418"/>
      <c r="C33" s="2" t="s">
        <v>458</v>
      </c>
      <c r="D33" s="7">
        <f>'4.SexedSemen AI BreedingCost'!F18</f>
        <v>17.28</v>
      </c>
      <c r="E33" s="7">
        <f>'4.SexedSemen AI BreedingCost'!F19</f>
        <v>17.28</v>
      </c>
      <c r="F33" s="7">
        <f>D33+E33</f>
        <v>34.56</v>
      </c>
      <c r="G33" s="219"/>
      <c r="H33" s="17">
        <f>'2.WeanedCalf to Sell Bred Heif '!E23</f>
        <v>1250</v>
      </c>
      <c r="I33" s="17">
        <f>F33*H33</f>
        <v>43200</v>
      </c>
      <c r="J33" s="418" t="s">
        <v>459</v>
      </c>
    </row>
    <row r="34" spans="2:11" ht="15.45" x14ac:dyDescent="0.4">
      <c r="B34" s="418"/>
      <c r="C34" s="2"/>
      <c r="D34" s="425"/>
      <c r="E34" s="425"/>
      <c r="F34" s="38">
        <f>F32+F33</f>
        <v>86.4</v>
      </c>
      <c r="G34" s="219"/>
      <c r="H34" s="17"/>
      <c r="I34" s="17">
        <f>I32+I33</f>
        <v>118368</v>
      </c>
      <c r="J34" s="418" t="s">
        <v>460</v>
      </c>
    </row>
    <row r="35" spans="2:11" ht="15.45" x14ac:dyDescent="0.4">
      <c r="B35" s="418"/>
      <c r="C35" s="2"/>
      <c r="D35" s="425"/>
      <c r="E35" s="425"/>
      <c r="F35" s="7"/>
      <c r="G35" s="219"/>
      <c r="H35" s="17"/>
      <c r="I35" s="17"/>
      <c r="J35" s="2"/>
    </row>
    <row r="36" spans="2:11" ht="15.45" x14ac:dyDescent="0.4">
      <c r="B36" s="418">
        <v>2</v>
      </c>
      <c r="C36" s="2" t="s">
        <v>441</v>
      </c>
      <c r="D36" s="7">
        <f>'4.SexedSemen AI BreedingCost'!D69</f>
        <v>4.7520000000000007</v>
      </c>
      <c r="E36" s="7">
        <f>'4.SexedSemen AI BreedingCost'!D70</f>
        <v>42.768000000000001</v>
      </c>
      <c r="F36" s="7">
        <f>D36+E36</f>
        <v>47.52</v>
      </c>
      <c r="G36" s="219">
        <f>F36/$C$30</f>
        <v>0.49500000000000005</v>
      </c>
      <c r="H36" s="17">
        <f>H32</f>
        <v>1450</v>
      </c>
      <c r="I36" s="17">
        <f>F36*H36</f>
        <v>68904</v>
      </c>
      <c r="J36" s="2"/>
    </row>
    <row r="37" spans="2:11" ht="15.45" x14ac:dyDescent="0.4">
      <c r="B37" s="418"/>
      <c r="C37" s="2"/>
      <c r="D37" s="7">
        <f>'4.SexedSemen AI BreedingCost'!F69</f>
        <v>19.440000000000001</v>
      </c>
      <c r="E37" s="7">
        <f>'4.SexedSemen AI BreedingCost'!F70</f>
        <v>19.440000000000001</v>
      </c>
      <c r="F37" s="7">
        <f>D37+E37</f>
        <v>38.880000000000003</v>
      </c>
      <c r="G37" s="219"/>
      <c r="H37" s="17">
        <f>H33</f>
        <v>1250</v>
      </c>
      <c r="I37" s="17">
        <f>F37*H37</f>
        <v>48600</v>
      </c>
      <c r="J37" s="2"/>
    </row>
    <row r="38" spans="2:11" ht="15.45" x14ac:dyDescent="0.4">
      <c r="B38" s="418"/>
      <c r="C38" s="2"/>
      <c r="D38" s="425"/>
      <c r="E38" s="425"/>
      <c r="F38" s="38">
        <f>F36+F37</f>
        <v>86.4</v>
      </c>
      <c r="G38" s="219"/>
      <c r="H38" s="17"/>
      <c r="I38" s="17">
        <f>I36+I37</f>
        <v>117504</v>
      </c>
      <c r="J38" s="12">
        <f>I38-I34</f>
        <v>-864</v>
      </c>
    </row>
    <row r="39" spans="2:11" ht="15.45" x14ac:dyDescent="0.4">
      <c r="B39" s="418"/>
      <c r="C39" s="2"/>
      <c r="I39" s="1"/>
      <c r="J39" s="2"/>
    </row>
    <row r="40" spans="2:11" ht="15.45" x14ac:dyDescent="0.4">
      <c r="B40" s="418">
        <v>3</v>
      </c>
      <c r="C40" s="3" t="s">
        <v>433</v>
      </c>
      <c r="D40" s="7">
        <f>'7. Natural Service Cost'!D10</f>
        <v>42.24</v>
      </c>
      <c r="E40" s="7">
        <f>'7. Natural Service Cost'!D11</f>
        <v>42.24</v>
      </c>
      <c r="F40" s="7">
        <f>D40+E40</f>
        <v>84.48</v>
      </c>
      <c r="G40" s="426"/>
      <c r="H40" s="12">
        <f>'2.WeanedCalf to Sell Bred Heif '!E23</f>
        <v>1250</v>
      </c>
      <c r="I40" s="17">
        <f>F40*H40</f>
        <v>105600</v>
      </c>
      <c r="J40" s="12">
        <f>I34-I40</f>
        <v>12768</v>
      </c>
    </row>
    <row r="41" spans="2:11" ht="15" x14ac:dyDescent="0.35">
      <c r="B41" s="22" t="s">
        <v>449</v>
      </c>
      <c r="C41" s="2" t="s">
        <v>442</v>
      </c>
    </row>
    <row r="43" spans="2:11" ht="15.45" x14ac:dyDescent="0.4">
      <c r="C43" s="511" t="s">
        <v>461</v>
      </c>
      <c r="D43" s="512"/>
      <c r="E43" s="512"/>
      <c r="F43" s="512"/>
      <c r="G43" s="492"/>
      <c r="H43" s="492"/>
      <c r="I43" s="492"/>
      <c r="J43" s="492"/>
    </row>
    <row r="45" spans="2:11" ht="15.45" x14ac:dyDescent="0.4">
      <c r="E45" s="419"/>
      <c r="F45" s="419"/>
      <c r="G45" s="485" t="s">
        <v>170</v>
      </c>
      <c r="H45" s="486"/>
      <c r="I45" s="56" t="s">
        <v>80</v>
      </c>
      <c r="J45" s="418" t="s">
        <v>462</v>
      </c>
    </row>
    <row r="46" spans="2:11" ht="15.45" x14ac:dyDescent="0.4">
      <c r="C46" s="418" t="s">
        <v>438</v>
      </c>
      <c r="E46" s="418" t="s">
        <v>463</v>
      </c>
      <c r="F46" s="419"/>
      <c r="G46" s="56" t="s">
        <v>464</v>
      </c>
      <c r="H46" s="56" t="s">
        <v>465</v>
      </c>
      <c r="I46" s="56" t="s">
        <v>466</v>
      </c>
      <c r="J46" s="418" t="s">
        <v>466</v>
      </c>
      <c r="K46" s="418" t="s">
        <v>459</v>
      </c>
    </row>
    <row r="47" spans="2:11" ht="15.45" x14ac:dyDescent="0.4">
      <c r="C47" s="382">
        <f>C30</f>
        <v>96</v>
      </c>
      <c r="E47" s="56" t="s">
        <v>52</v>
      </c>
      <c r="F47" s="419"/>
      <c r="G47" s="56" t="s">
        <v>467</v>
      </c>
      <c r="H47" s="56" t="s">
        <v>468</v>
      </c>
      <c r="I47" s="56" t="s">
        <v>469</v>
      </c>
      <c r="J47" s="418" t="s">
        <v>306</v>
      </c>
      <c r="K47" s="418" t="s">
        <v>460</v>
      </c>
    </row>
    <row r="48" spans="2:11" ht="15.45" x14ac:dyDescent="0.4">
      <c r="C48" s="3" t="str">
        <f>C31</f>
        <v>Sexed Semen AI</v>
      </c>
      <c r="D48" s="3" t="s">
        <v>470</v>
      </c>
      <c r="J48" s="418" t="s">
        <v>460</v>
      </c>
    </row>
    <row r="49" spans="2:11" ht="15.45" x14ac:dyDescent="0.4">
      <c r="B49" s="418">
        <v>1</v>
      </c>
      <c r="C49" s="2" t="s">
        <v>440</v>
      </c>
      <c r="D49" s="7">
        <f>'2.WeanedCalf to Sell Bred Heif '!N35</f>
        <v>9.5999999999999943</v>
      </c>
      <c r="E49" s="12">
        <f>'2.WeanedCalf to Sell Bred Heif '!F34+D49*'2.WeanedCalf to Sell Bred Heif '!E22</f>
        <v>13097.999999999995</v>
      </c>
      <c r="G49" s="12">
        <f>I34</f>
        <v>118368</v>
      </c>
      <c r="H49" s="17">
        <f>E49+G49</f>
        <v>131466</v>
      </c>
      <c r="I49" s="25">
        <f>F21*C47</f>
        <v>13107</v>
      </c>
      <c r="J49" s="17">
        <f>H49-I49</f>
        <v>118359</v>
      </c>
    </row>
    <row r="50" spans="2:11" ht="15.45" x14ac:dyDescent="0.4">
      <c r="B50" s="418">
        <v>2</v>
      </c>
      <c r="C50" s="2" t="s">
        <v>441</v>
      </c>
      <c r="D50" s="7">
        <f>'2.WeanedCalf to Sell Bred Heif '!N36</f>
        <v>9.5999999999999943</v>
      </c>
      <c r="E50" s="12">
        <f>'2.WeanedCalf to Sell Bred Heif '!F34+D50*'2.WeanedCalf to Sell Bred Heif '!E22</f>
        <v>13097.999999999995</v>
      </c>
      <c r="G50" s="12">
        <f>I38</f>
        <v>117504</v>
      </c>
      <c r="H50" s="17">
        <f>E50+G50</f>
        <v>130602</v>
      </c>
      <c r="I50" s="25">
        <f>F22*C47</f>
        <v>10785</v>
      </c>
      <c r="J50" s="17">
        <f>H50-I50</f>
        <v>119817</v>
      </c>
      <c r="K50" s="17">
        <f>J49-J50</f>
        <v>-1458</v>
      </c>
    </row>
    <row r="51" spans="2:11" ht="15.45" x14ac:dyDescent="0.4">
      <c r="C51" s="2"/>
      <c r="D51" s="2"/>
      <c r="E51" s="22"/>
      <c r="G51" s="2"/>
      <c r="K51" s="3"/>
    </row>
    <row r="52" spans="2:11" ht="15.45" x14ac:dyDescent="0.4">
      <c r="B52" s="418">
        <v>3</v>
      </c>
      <c r="C52" s="3" t="s">
        <v>433</v>
      </c>
      <c r="D52" s="7">
        <f>'2.WeanedCalf to Sell Bred Heif '!N38</f>
        <v>11.519999999999996</v>
      </c>
      <c r="E52" s="12">
        <f>'2.WeanedCalf to Sell Bred Heif '!F34+D52*'2.WeanedCalf to Sell Bred Heif '!E22</f>
        <v>15171.599999999995</v>
      </c>
      <c r="G52" s="12">
        <f t="shared" ref="G52" si="1">I40</f>
        <v>105600</v>
      </c>
      <c r="H52" s="17">
        <f>E52+G52</f>
        <v>120771.59999999999</v>
      </c>
      <c r="I52" s="25">
        <f>F24*C47</f>
        <v>9246</v>
      </c>
      <c r="J52" s="17">
        <f>H52-I52</f>
        <v>111525.59999999999</v>
      </c>
      <c r="K52" s="17">
        <f>J52-J49</f>
        <v>-6833.4000000000087</v>
      </c>
    </row>
    <row r="53" spans="2:11" ht="15" x14ac:dyDescent="0.35">
      <c r="C53" s="22" t="s">
        <v>363</v>
      </c>
      <c r="D53" s="2"/>
    </row>
    <row r="54" spans="2:11" x14ac:dyDescent="0.3">
      <c r="B54" s="22" t="s">
        <v>471</v>
      </c>
    </row>
    <row r="55" spans="2:11" ht="15.45" x14ac:dyDescent="0.4">
      <c r="C55" s="485" t="s">
        <v>408</v>
      </c>
      <c r="D55" s="485"/>
      <c r="E55" s="485"/>
      <c r="F55" s="485"/>
      <c r="G55" s="485"/>
    </row>
    <row r="56" spans="2:11" ht="15.45" x14ac:dyDescent="0.4">
      <c r="C56" s="3" t="s">
        <v>472</v>
      </c>
    </row>
    <row r="57" spans="2:11" ht="15.45" x14ac:dyDescent="0.4">
      <c r="C57" s="60"/>
      <c r="E57" s="3" t="s">
        <v>304</v>
      </c>
      <c r="F57" s="3" t="s">
        <v>303</v>
      </c>
      <c r="H57" s="3" t="s">
        <v>170</v>
      </c>
    </row>
    <row r="58" spans="2:11" ht="15.45" x14ac:dyDescent="0.4">
      <c r="C58" s="5" t="s">
        <v>21</v>
      </c>
      <c r="D58" s="418" t="s">
        <v>288</v>
      </c>
      <c r="E58" s="427">
        <v>2</v>
      </c>
      <c r="F58" s="38">
        <f>C6</f>
        <v>96</v>
      </c>
      <c r="H58" s="38">
        <f>F34</f>
        <v>86.4</v>
      </c>
    </row>
    <row r="59" spans="2:11" ht="15.45" x14ac:dyDescent="0.4">
      <c r="C59" s="2"/>
      <c r="D59" s="418" t="s">
        <v>306</v>
      </c>
      <c r="E59" s="3" t="s">
        <v>402</v>
      </c>
      <c r="F59" s="67" t="s">
        <v>302</v>
      </c>
      <c r="H59" s="3" t="s">
        <v>398</v>
      </c>
    </row>
    <row r="60" spans="2:11" ht="15.45" x14ac:dyDescent="0.4">
      <c r="C60" s="3" t="s">
        <v>55</v>
      </c>
      <c r="D60" s="26">
        <f>'6. Bull Cost'!E20</f>
        <v>1797.875</v>
      </c>
      <c r="E60" s="26">
        <f>D60*E58</f>
        <v>3595.75</v>
      </c>
      <c r="F60" s="67">
        <f>E60/F58</f>
        <v>37.455729166666664</v>
      </c>
      <c r="H60" s="67">
        <f>E60/H58</f>
        <v>41.617476851851848</v>
      </c>
    </row>
    <row r="61" spans="2:11" ht="15.45" x14ac:dyDescent="0.4">
      <c r="D61" s="485" t="s">
        <v>342</v>
      </c>
      <c r="E61" s="485"/>
      <c r="F61" s="485"/>
      <c r="G61" s="485"/>
    </row>
    <row r="62" spans="2:11" ht="15.45" x14ac:dyDescent="0.4">
      <c r="C62" s="3" t="s">
        <v>473</v>
      </c>
      <c r="D62" s="26">
        <f>'8. Bull Investment &amp; Costs'!C30</f>
        <v>2970</v>
      </c>
      <c r="E62" s="17">
        <f>E58*D62</f>
        <v>5940</v>
      </c>
      <c r="F62" s="321">
        <f>IF(F58=0,0,E62/F58)</f>
        <v>61.875</v>
      </c>
      <c r="H62" s="321">
        <f>IF(H58=0,0,E62/H58)</f>
        <v>68.75</v>
      </c>
    </row>
    <row r="63" spans="2:11" ht="15.45" x14ac:dyDescent="0.4">
      <c r="C63" s="22" t="s">
        <v>403</v>
      </c>
      <c r="D63" s="76"/>
      <c r="E63" s="22"/>
      <c r="F63" s="3"/>
      <c r="G63" s="23"/>
    </row>
    <row r="64" spans="2:11" x14ac:dyDescent="0.3">
      <c r="C64" s="22" t="s">
        <v>407</v>
      </c>
    </row>
    <row r="65" spans="3:8" ht="15.45" x14ac:dyDescent="0.4">
      <c r="C65" s="3" t="s">
        <v>406</v>
      </c>
    </row>
    <row r="66" spans="3:8" ht="15.45" x14ac:dyDescent="0.4">
      <c r="C66" s="60"/>
      <c r="E66" s="3" t="s">
        <v>304</v>
      </c>
      <c r="F66" s="3" t="s">
        <v>303</v>
      </c>
      <c r="H66" s="3" t="s">
        <v>170</v>
      </c>
    </row>
    <row r="67" spans="3:8" ht="15.45" x14ac:dyDescent="0.4">
      <c r="C67" s="5" t="s">
        <v>21</v>
      </c>
      <c r="D67" s="418" t="s">
        <v>288</v>
      </c>
      <c r="E67" s="427">
        <v>4</v>
      </c>
      <c r="F67" s="38">
        <f>C6</f>
        <v>96</v>
      </c>
      <c r="H67" s="38">
        <f>'7. Natural Service Cost'!J9</f>
        <v>84.48</v>
      </c>
    </row>
    <row r="68" spans="3:8" ht="15.45" x14ac:dyDescent="0.4">
      <c r="C68" s="2"/>
      <c r="D68" s="418" t="s">
        <v>306</v>
      </c>
      <c r="E68" s="3" t="s">
        <v>402</v>
      </c>
      <c r="F68" s="67" t="s">
        <v>302</v>
      </c>
      <c r="H68" s="3" t="s">
        <v>398</v>
      </c>
    </row>
    <row r="69" spans="3:8" ht="15.45" x14ac:dyDescent="0.4">
      <c r="C69" s="3" t="s">
        <v>100</v>
      </c>
      <c r="D69" s="26">
        <f>D60</f>
        <v>1797.875</v>
      </c>
      <c r="E69" s="26">
        <f>D69*E67</f>
        <v>7191.5</v>
      </c>
      <c r="F69" s="67">
        <f>E69/F67</f>
        <v>74.911458333333329</v>
      </c>
      <c r="H69" s="67">
        <f>E69/H67</f>
        <v>85.126657196969688</v>
      </c>
    </row>
    <row r="70" spans="3:8" ht="15.45" x14ac:dyDescent="0.4">
      <c r="D70" s="485" t="s">
        <v>342</v>
      </c>
      <c r="E70" s="485"/>
      <c r="F70" s="485"/>
      <c r="G70" s="485"/>
    </row>
    <row r="71" spans="3:8" ht="15.45" x14ac:dyDescent="0.4">
      <c r="C71" s="3" t="s">
        <v>473</v>
      </c>
      <c r="D71" s="26">
        <f>D62</f>
        <v>2970</v>
      </c>
      <c r="E71" s="17">
        <f>E67*D71</f>
        <v>11880</v>
      </c>
      <c r="F71" s="321">
        <f>IF(F67=0,0,E71/F67)</f>
        <v>123.75</v>
      </c>
      <c r="H71" s="321">
        <f>IF(H67=0,0,E71/H67)</f>
        <v>140.625</v>
      </c>
    </row>
    <row r="72" spans="3:8" ht="15.45" x14ac:dyDescent="0.4">
      <c r="C72" s="22" t="s">
        <v>403</v>
      </c>
      <c r="D72" s="76"/>
      <c r="E72" s="22"/>
      <c r="F72" s="3"/>
      <c r="G72" s="23"/>
    </row>
  </sheetData>
  <sheetProtection sheet="1" objects="1" scenarios="1"/>
  <mergeCells count="12">
    <mergeCell ref="D70:G70"/>
    <mergeCell ref="C1:K1"/>
    <mergeCell ref="C3:H3"/>
    <mergeCell ref="C15:H15"/>
    <mergeCell ref="C27:I27"/>
    <mergeCell ref="D28:E28"/>
    <mergeCell ref="H29:I29"/>
    <mergeCell ref="H30:I30"/>
    <mergeCell ref="C43:J43"/>
    <mergeCell ref="G45:H45"/>
    <mergeCell ref="C55:G55"/>
    <mergeCell ref="D61:G61"/>
  </mergeCells>
  <pageMargins left="0.95" right="0.45" top="0.75" bottom="0.75" header="0.3" footer="0.3"/>
  <pageSetup scale="63" orientation="portrait" horizontalDpi="4294967295" verticalDpi="4294967295" r:id="rId1"/>
  <headerFooter>
    <oddFooter>&amp;L&amp;F&amp;R&amp;A</oddFooter>
  </headerFooter>
  <ignoredErrors>
    <ignoredError sqref="G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 Dates&amp;Descripitions</vt:lpstr>
      <vt:lpstr>2.WeanedCalf to Sell Bred Heif </vt:lpstr>
      <vt:lpstr>3. Summary Report</vt:lpstr>
      <vt:lpstr>4.SexedSemen AI BreedingCost</vt:lpstr>
      <vt:lpstr>5. Sexed Semen AI Summary</vt:lpstr>
      <vt:lpstr>6. Bull Cost</vt:lpstr>
      <vt:lpstr>7. Natural Service Cost</vt:lpstr>
      <vt:lpstr>8. Bull Investment &amp; Costs</vt:lpstr>
      <vt:lpstr>9. Breeding System Costs</vt:lpstr>
      <vt:lpstr>10. Weaned Calving Margin</vt:lpstr>
      <vt:lpstr>11. Cost Definitions</vt:lpstr>
      <vt:lpstr>'1. Dates&amp;Descripitions'!Print_Area</vt:lpstr>
      <vt:lpstr>'10. Weaned Calving Margin'!Print_Area</vt:lpstr>
      <vt:lpstr>'11. Cost Definitions'!Print_Area</vt:lpstr>
      <vt:lpstr>'2.WeanedCalf to Sell Bred Heif '!Print_Area</vt:lpstr>
      <vt:lpstr>'3. Summary Report'!Print_Area</vt:lpstr>
      <vt:lpstr>'4.SexedSemen AI BreedingCost'!Print_Area</vt:lpstr>
      <vt:lpstr>'5. Sexed Semen AI Summary'!Print_Area</vt:lpstr>
      <vt:lpstr>'6. Bull Cost'!Print_Area</vt:lpstr>
      <vt:lpstr>'7. Natural Service Cost'!Print_Area</vt:lpstr>
      <vt:lpstr>'8. Bull Investment &amp; Costs'!Print_Area</vt:lpstr>
      <vt:lpstr>'9. Breeding System Costs'!Print_Area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McGrann</dc:creator>
  <cp:lastModifiedBy>Jim McGrann</cp:lastModifiedBy>
  <cp:lastPrinted>2019-09-15T01:20:11Z</cp:lastPrinted>
  <dcterms:created xsi:type="dcterms:W3CDTF">2004-03-18T15:16:20Z</dcterms:created>
  <dcterms:modified xsi:type="dcterms:W3CDTF">2019-09-17T01:59:27Z</dcterms:modified>
</cp:coreProperties>
</file>