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cgra\Documents\2019 TAMU Decision Aids Additions\O. Cow-Calf Herd Health Economics\"/>
    </mc:Choice>
  </mc:AlternateContent>
  <xr:revisionPtr revIDLastSave="0" documentId="13_ncr:1_{AA387CEA-C8B5-42DA-A02C-0F734743222F}" xr6:coauthVersionLast="43" xr6:coauthVersionMax="43" xr10:uidLastSave="{00000000-0000-0000-0000-000000000000}"/>
  <bookViews>
    <workbookView xWindow="-103" yWindow="-103" windowWidth="16663" windowHeight="8863" tabRatio="902" xr2:uid="{00000000-000D-0000-FFFF-FFFF00000000}"/>
  </bookViews>
  <sheets>
    <sheet name="1. Select Herd Health Costs" sheetId="4" r:id="rId1"/>
    <sheet name="2.Cattle Prices-Herd Investment" sheetId="8" r:id="rId2"/>
    <sheet name="3.Pregnancy Testing Economics" sheetId="7" r:id="rId3"/>
    <sheet name="4.Delayed Pregancy Revenue Loss" sheetId="3" r:id="rId4"/>
    <sheet name="5. Cost of Trich Culling" sheetId="5" r:id="rId5"/>
    <sheet name="6. Benefit-Cost of BSE" sheetId="1" r:id="rId6"/>
    <sheet name="7. Bull Ownership Cost" sheetId="2" r:id="rId7"/>
  </sheets>
  <definedNames>
    <definedName name="_xlnm.Print_Area" localSheetId="0">'1. Select Herd Health Costs'!$B$1:$I$56</definedName>
    <definedName name="_xlnm.Print_Area" localSheetId="1">'2.Cattle Prices-Herd Investment'!$B$1:$H$29</definedName>
    <definedName name="_xlnm.Print_Area" localSheetId="2">'3.Pregnancy Testing Economics'!$B$1:$G$45</definedName>
    <definedName name="_xlnm.Print_Area" localSheetId="3">'4.Delayed Pregancy Revenue Loss'!$B$2:$J$97</definedName>
    <definedName name="_xlnm.Print_Area" localSheetId="4">'5. Cost of Trich Culling'!$B$2:$H$50</definedName>
    <definedName name="_xlnm.Print_Area" localSheetId="5">'6. Benefit-Cost of BSE'!$B$1:$J$50</definedName>
    <definedName name="_xlnm.Print_Area" localSheetId="6">'7. Bull Ownership Cost'!$B$1:$I$60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4" l="1"/>
  <c r="H55" i="4"/>
  <c r="D55" i="4" l="1"/>
  <c r="D50" i="4"/>
  <c r="G18" i="8" l="1"/>
  <c r="D20" i="8"/>
  <c r="G20" i="8" s="1"/>
  <c r="G21" i="8" l="1"/>
  <c r="G24" i="8" s="1"/>
  <c r="F36" i="7"/>
  <c r="G36" i="7" s="1"/>
  <c r="C16" i="7" s="1"/>
  <c r="E16" i="7" s="1"/>
  <c r="F16" i="7" s="1"/>
  <c r="G26" i="7"/>
  <c r="G25" i="7"/>
  <c r="G24" i="7"/>
  <c r="F6" i="8"/>
  <c r="G6" i="8" s="1"/>
  <c r="H6" i="8" s="1"/>
  <c r="F7" i="8"/>
  <c r="G7" i="8" s="1"/>
  <c r="H7" i="8" s="1"/>
  <c r="F10" i="8"/>
  <c r="F11" i="8"/>
  <c r="D12" i="8"/>
  <c r="E12" i="8"/>
  <c r="C30" i="7"/>
  <c r="C41" i="7" s="1"/>
  <c r="D41" i="7" s="1"/>
  <c r="D40" i="7" s="1"/>
  <c r="C39" i="7"/>
  <c r="D39" i="7" s="1"/>
  <c r="F12" i="8" l="1"/>
  <c r="C31" i="7"/>
  <c r="F33" i="7" s="1"/>
  <c r="G33" i="7" s="1"/>
  <c r="C15" i="7" s="1"/>
  <c r="C18" i="7" s="1"/>
  <c r="C41" i="5"/>
  <c r="D41" i="5"/>
  <c r="B42" i="5"/>
  <c r="B43" i="5"/>
  <c r="E41" i="5" l="1"/>
  <c r="F41" i="5" s="1"/>
  <c r="B44" i="5"/>
  <c r="F42" i="5" l="1"/>
  <c r="G42" i="5" s="1"/>
  <c r="H47" i="5" s="1"/>
  <c r="F43" i="5"/>
  <c r="G43" i="5" s="1"/>
  <c r="B45" i="5"/>
  <c r="F44" i="5"/>
  <c r="E26" i="2"/>
  <c r="G27" i="2"/>
  <c r="F22" i="2"/>
  <c r="E22" i="2"/>
  <c r="G19" i="2"/>
  <c r="I10" i="1"/>
  <c r="H9" i="3"/>
  <c r="E9" i="5"/>
  <c r="D9" i="5"/>
  <c r="C9" i="5"/>
  <c r="E7" i="5"/>
  <c r="D7" i="5"/>
  <c r="C7" i="5"/>
  <c r="E22" i="5"/>
  <c r="D22" i="5"/>
  <c r="G44" i="5" l="1"/>
  <c r="B46" i="5"/>
  <c r="F46" i="5" s="1"/>
  <c r="F45" i="5"/>
  <c r="G45" i="5" s="1"/>
  <c r="I8" i="1"/>
  <c r="E27" i="2"/>
  <c r="E15" i="3"/>
  <c r="L6" i="3" s="1"/>
  <c r="M6" i="3" s="1"/>
  <c r="E5" i="3" s="1"/>
  <c r="D26" i="7"/>
  <c r="D25" i="7"/>
  <c r="D24" i="7"/>
  <c r="F10" i="7"/>
  <c r="I10" i="7" s="1"/>
  <c r="F9" i="7"/>
  <c r="I9" i="7" s="1"/>
  <c r="F8" i="7"/>
  <c r="I8" i="7" s="1"/>
  <c r="E15" i="7"/>
  <c r="E18" i="7" l="1"/>
  <c r="F15" i="7"/>
  <c r="G46" i="5"/>
  <c r="G19" i="5"/>
  <c r="E27" i="5"/>
  <c r="F22" i="5"/>
  <c r="F9" i="5"/>
  <c r="G9" i="5" s="1"/>
  <c r="H9" i="5" s="1"/>
  <c r="F7" i="5"/>
  <c r="G7" i="5" s="1"/>
  <c r="E26" i="7" l="1"/>
  <c r="F26" i="7" s="1"/>
  <c r="E25" i="7"/>
  <c r="F25" i="7" s="1"/>
  <c r="E24" i="7"/>
  <c r="F24" i="7" s="1"/>
  <c r="H7" i="5"/>
  <c r="G13" i="5"/>
  <c r="G15" i="5"/>
  <c r="D21" i="4"/>
  <c r="H41" i="4"/>
  <c r="D41" i="4"/>
  <c r="D31" i="4"/>
  <c r="H31" i="4"/>
  <c r="D12" i="4"/>
  <c r="H12" i="4"/>
  <c r="I41" i="4" l="1"/>
  <c r="H53" i="4" s="1"/>
  <c r="I53" i="4" s="1"/>
  <c r="I31" i="4"/>
  <c r="H52" i="4" s="1"/>
  <c r="I52" i="4" s="1"/>
  <c r="I12" i="4"/>
  <c r="H48" i="4" s="1"/>
  <c r="I48" i="4" s="1"/>
  <c r="G17" i="5"/>
  <c r="I19" i="1"/>
  <c r="I27" i="1"/>
  <c r="J15" i="3"/>
  <c r="E9" i="3"/>
  <c r="E10" i="3" s="1"/>
  <c r="G9" i="3"/>
  <c r="E62" i="3" s="1"/>
  <c r="E63" i="3"/>
  <c r="E83" i="3" s="1"/>
  <c r="E20" i="3"/>
  <c r="E40" i="3" s="1"/>
  <c r="E60" i="3"/>
  <c r="E23" i="3"/>
  <c r="E43" i="3" s="1"/>
  <c r="C16" i="3"/>
  <c r="I21" i="1"/>
  <c r="G15" i="2"/>
  <c r="F51" i="2" s="1"/>
  <c r="C56" i="2"/>
  <c r="C57" i="2" s="1"/>
  <c r="C40" i="2"/>
  <c r="C41" i="2" s="1"/>
  <c r="C35" i="2"/>
  <c r="G28" i="2"/>
  <c r="I29" i="2" s="1"/>
  <c r="E28" i="2"/>
  <c r="G22" i="2"/>
  <c r="E10" i="2" s="1"/>
  <c r="E12" i="2"/>
  <c r="H15" i="2"/>
  <c r="F17" i="2" s="1"/>
  <c r="G3" i="2"/>
  <c r="I24" i="1"/>
  <c r="D39" i="1"/>
  <c r="E39" i="1" s="1"/>
  <c r="D41" i="1"/>
  <c r="D42" i="1" s="1"/>
  <c r="E37" i="1"/>
  <c r="I28" i="1"/>
  <c r="D43" i="1" s="1"/>
  <c r="G30" i="1"/>
  <c r="I9" i="1"/>
  <c r="I11" i="1" s="1"/>
  <c r="F39" i="1" l="1"/>
  <c r="E41" i="1"/>
  <c r="E42" i="1" s="1"/>
  <c r="E5" i="2"/>
  <c r="H14" i="4"/>
  <c r="H21" i="4" s="1"/>
  <c r="I21" i="4" s="1"/>
  <c r="H49" i="4" s="1"/>
  <c r="I49" i="4" s="1"/>
  <c r="E80" i="3"/>
  <c r="G4" i="2"/>
  <c r="H4" i="2" s="1"/>
  <c r="G12" i="2"/>
  <c r="H12" i="2" s="1"/>
  <c r="H3" i="2"/>
  <c r="G43" i="1"/>
  <c r="H43" i="1"/>
  <c r="F43" i="1"/>
  <c r="D45" i="1"/>
  <c r="E43" i="1"/>
  <c r="E45" i="1" s="1"/>
  <c r="E30" i="1"/>
  <c r="I31" i="1" s="1"/>
  <c r="E22" i="3"/>
  <c r="E42" i="3" s="1"/>
  <c r="E44" i="3" s="1"/>
  <c r="E64" i="3"/>
  <c r="E82" i="3"/>
  <c r="E84" i="3" s="1"/>
  <c r="E27" i="3"/>
  <c r="E11" i="3"/>
  <c r="G10" i="3"/>
  <c r="E28" i="3" s="1"/>
  <c r="C39" i="2"/>
  <c r="G22" i="5"/>
  <c r="G27" i="5" s="1"/>
  <c r="H19" i="5"/>
  <c r="G10" i="2"/>
  <c r="H10" i="2" s="1"/>
  <c r="C42" i="2"/>
  <c r="G51" i="2"/>
  <c r="H51" i="2" s="1"/>
  <c r="E51" i="2"/>
  <c r="D51" i="2" s="1"/>
  <c r="C58" i="2"/>
  <c r="F24" i="2"/>
  <c r="E11" i="2" s="1"/>
  <c r="G11" i="2" s="1"/>
  <c r="H11" i="2" s="1"/>
  <c r="C55" i="2"/>
  <c r="I56" i="4" l="1"/>
  <c r="G5" i="2"/>
  <c r="H5" i="2" s="1"/>
  <c r="E6" i="2"/>
  <c r="G39" i="1"/>
  <c r="F41" i="1"/>
  <c r="F42" i="1" s="1"/>
  <c r="F45" i="1" s="1"/>
  <c r="E24" i="3"/>
  <c r="I9" i="3" s="1"/>
  <c r="E29" i="3"/>
  <c r="E31" i="3" s="1"/>
  <c r="E33" i="3" s="1"/>
  <c r="E34" i="3" s="1"/>
  <c r="I10" i="3" s="1"/>
  <c r="E12" i="3"/>
  <c r="E47" i="3"/>
  <c r="G11" i="3"/>
  <c r="E48" i="3" s="1"/>
  <c r="E49" i="3" s="1"/>
  <c r="E51" i="3" s="1"/>
  <c r="E53" i="3" s="1"/>
  <c r="H11" i="3" s="1"/>
  <c r="C38" i="2"/>
  <c r="C59" i="2"/>
  <c r="C43" i="2"/>
  <c r="C54" i="2"/>
  <c r="E13" i="2"/>
  <c r="H39" i="1" l="1"/>
  <c r="H41" i="1" s="1"/>
  <c r="H42" i="1" s="1"/>
  <c r="H45" i="1" s="1"/>
  <c r="G41" i="1"/>
  <c r="G42" i="1" s="1"/>
  <c r="G45" i="1" s="1"/>
  <c r="E7" i="2"/>
  <c r="D59" i="2" s="1"/>
  <c r="G6" i="2"/>
  <c r="H6" i="2" s="1"/>
  <c r="H10" i="3"/>
  <c r="E35" i="3"/>
  <c r="J10" i="3" s="1"/>
  <c r="E54" i="3"/>
  <c r="E55" i="3" s="1"/>
  <c r="J11" i="3" s="1"/>
  <c r="E67" i="3"/>
  <c r="E13" i="3"/>
  <c r="G12" i="3"/>
  <c r="E68" i="3" s="1"/>
  <c r="E69" i="3" s="1"/>
  <c r="E71" i="3" s="1"/>
  <c r="E73" i="3" s="1"/>
  <c r="E38" i="2"/>
  <c r="C37" i="2"/>
  <c r="C53" i="2"/>
  <c r="H59" i="2"/>
  <c r="E59" i="2"/>
  <c r="G13" i="2"/>
  <c r="H13" i="2" s="1"/>
  <c r="G56" i="2" l="1"/>
  <c r="G7" i="2"/>
  <c r="H7" i="2" s="1"/>
  <c r="E40" i="2"/>
  <c r="E41" i="2"/>
  <c r="F57" i="2"/>
  <c r="F56" i="2"/>
  <c r="G58" i="2"/>
  <c r="D58" i="2"/>
  <c r="E42" i="2"/>
  <c r="F55" i="2"/>
  <c r="E56" i="2"/>
  <c r="H58" i="2"/>
  <c r="G57" i="2"/>
  <c r="E55" i="2"/>
  <c r="D56" i="2"/>
  <c r="E39" i="2"/>
  <c r="D55" i="2"/>
  <c r="H57" i="2"/>
  <c r="D57" i="2"/>
  <c r="F58" i="2"/>
  <c r="E58" i="2"/>
  <c r="H56" i="2"/>
  <c r="H55" i="2"/>
  <c r="E57" i="2"/>
  <c r="G55" i="2"/>
  <c r="F59" i="2"/>
  <c r="H54" i="2"/>
  <c r="D54" i="2"/>
  <c r="F54" i="2"/>
  <c r="E16" i="2"/>
  <c r="G59" i="2"/>
  <c r="G54" i="2"/>
  <c r="E54" i="2"/>
  <c r="E37" i="2"/>
  <c r="G37" i="2" s="1"/>
  <c r="H37" i="2" s="1"/>
  <c r="E43" i="2"/>
  <c r="I11" i="3"/>
  <c r="H12" i="3"/>
  <c r="E74" i="3"/>
  <c r="E87" i="3"/>
  <c r="G13" i="3"/>
  <c r="E88" i="3" s="1"/>
  <c r="E89" i="3" s="1"/>
  <c r="E91" i="3" s="1"/>
  <c r="E93" i="3" s="1"/>
  <c r="F37" i="2"/>
  <c r="I38" i="2"/>
  <c r="F38" i="2"/>
  <c r="G38" i="2"/>
  <c r="H38" i="2" s="1"/>
  <c r="E49" i="1"/>
  <c r="G16" i="2"/>
  <c r="E17" i="2"/>
  <c r="I7" i="2"/>
  <c r="H53" i="2"/>
  <c r="F53" i="2"/>
  <c r="E53" i="2"/>
  <c r="D53" i="2"/>
  <c r="G53" i="2"/>
  <c r="I13" i="2"/>
  <c r="I37" i="2" l="1"/>
  <c r="F39" i="2"/>
  <c r="I39" i="2"/>
  <c r="G39" i="2"/>
  <c r="H39" i="2" s="1"/>
  <c r="G41" i="2"/>
  <c r="H41" i="2" s="1"/>
  <c r="I41" i="2"/>
  <c r="F41" i="2"/>
  <c r="G43" i="2"/>
  <c r="H43" i="2" s="1"/>
  <c r="F43" i="2"/>
  <c r="I43" i="2"/>
  <c r="I40" i="2"/>
  <c r="F40" i="2"/>
  <c r="F42" i="2"/>
  <c r="I42" i="2"/>
  <c r="G42" i="2"/>
  <c r="H42" i="2" s="1"/>
  <c r="E94" i="3"/>
  <c r="H13" i="3"/>
  <c r="E75" i="3"/>
  <c r="J12" i="3" s="1"/>
  <c r="I12" i="3"/>
  <c r="H16" i="2"/>
  <c r="I16" i="2"/>
  <c r="E95" i="3" l="1"/>
  <c r="J13" i="3" s="1"/>
  <c r="I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J. Kelly</author>
  </authors>
  <commentList>
    <comment ref="G2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See the number of cows input per bull below </t>
        </r>
      </text>
    </comment>
    <comment ref="H2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See the production per exposed female below  that is used as the devisor. </t>
        </r>
      </text>
    </comment>
    <comment ref="E10" authorId="0" shapeId="0" xr:uid="{00000000-0006-0000-0600-000003000000}">
      <text>
        <r>
          <rPr>
            <sz val="8"/>
            <color indexed="81"/>
            <rFont val="Tahoma"/>
            <family val="2"/>
          </rPr>
          <t>Cost - Salvage value divided by useful life.</t>
        </r>
      </text>
    </comment>
    <comment ref="E32" authorId="0" shapeId="0" xr:uid="{00000000-0006-0000-0600-000004000000}">
      <text>
        <r>
          <rPr>
            <sz val="8"/>
            <color indexed="81"/>
            <rFont val="Tahoma"/>
            <family val="2"/>
          </rPr>
          <t>See the number of cows input per bull above</t>
        </r>
      </text>
    </comment>
    <comment ref="F32" authorId="0" shapeId="0" xr:uid="{00000000-0006-0000-0600-000005000000}">
      <text>
        <r>
          <rPr>
            <sz val="8"/>
            <color indexed="81"/>
            <rFont val="Tahoma"/>
            <family val="2"/>
          </rPr>
          <t xml:space="preserve">See the production per exposed female Above  that is used as the devisor. </t>
        </r>
      </text>
    </comment>
    <comment ref="G32" authorId="0" shapeId="0" xr:uid="{00000000-0006-0000-0600-000006000000}">
      <text>
        <r>
          <rPr>
            <sz val="8"/>
            <color indexed="81"/>
            <rFont val="Tahoma"/>
            <family val="2"/>
          </rPr>
          <t xml:space="preserve">Chance in cost per cow with the change in bull purchase cost.
</t>
        </r>
      </text>
    </comment>
    <comment ref="H32" authorId="0" shapeId="0" xr:uid="{00000000-0006-0000-0600-000007000000}">
      <text>
        <r>
          <rPr>
            <sz val="8"/>
            <color indexed="81"/>
            <rFont val="Tahoma"/>
            <family val="2"/>
          </rPr>
          <t xml:space="preserve">The required change the number of pounds of weaned calf sold to cover the added cost - price held constant. 
</t>
        </r>
      </text>
    </comment>
  </commentList>
</comments>
</file>

<file path=xl/sharedStrings.xml><?xml version="1.0" encoding="utf-8"?>
<sst xmlns="http://schemas.openxmlformats.org/spreadsheetml/2006/main" count="547" uniqueCount="361">
  <si>
    <t>Base Herd Production Information</t>
  </si>
  <si>
    <t xml:space="preserve"> Head</t>
  </si>
  <si>
    <t>Weaned Calf Crop</t>
  </si>
  <si>
    <t xml:space="preserve">    %</t>
  </si>
  <si>
    <t>Average Weaning Weight</t>
  </si>
  <si>
    <t>Lb./Head</t>
  </si>
  <si>
    <t>Lbs. Weaned per Exposed Cow</t>
  </si>
  <si>
    <t>Lb./Cow</t>
  </si>
  <si>
    <t>$/Cwt.</t>
  </si>
  <si>
    <t>Average Weaned Calf Income per Exposed Cow</t>
  </si>
  <si>
    <t>$/Head</t>
  </si>
  <si>
    <t xml:space="preserve">   Value</t>
  </si>
  <si>
    <t>Input Data</t>
  </si>
  <si>
    <t>Total Cost Associated with BSE Procedure</t>
  </si>
  <si>
    <t>Results</t>
  </si>
  <si>
    <t xml:space="preserve">Cost of BSE per Exposed Cow </t>
  </si>
  <si>
    <t>Change in Gross Income from Performing BSE</t>
  </si>
  <si>
    <t>Change in BSE Cost ($/Head)</t>
  </si>
  <si>
    <t>Cost of BSE per Bull ($)</t>
  </si>
  <si>
    <t>Change in Income</t>
  </si>
  <si>
    <t>Added cost</t>
  </si>
  <si>
    <t>%</t>
  </si>
  <si>
    <t>Total Cost Per Bull</t>
  </si>
  <si>
    <t>Return Per $</t>
  </si>
  <si>
    <t>Change in Specified Weaned Calf Crop</t>
  </si>
  <si>
    <t>_______________________________________________________________________________________</t>
  </si>
  <si>
    <t>Cost of Exam - $/Hd.</t>
  </si>
  <si>
    <t>Bull Investment - Annual Bull and Per Cow Cost Calculator</t>
  </si>
  <si>
    <t>Operating Cost Item</t>
  </si>
  <si>
    <t xml:space="preserve">Annual
Bull Cost
</t>
  </si>
  <si>
    <t>Cows  per Year</t>
  </si>
  <si>
    <t>Annual
Cow
Service Cost</t>
  </si>
  <si>
    <t>Annual
Service Cost per Cwt Weaned</t>
  </si>
  <si>
    <t>Percent of Total Cost</t>
  </si>
  <si>
    <t>Grazing and Supplemental Feed</t>
  </si>
  <si>
    <t>Annual Interest on 1/2 of Operating Cost</t>
  </si>
  <si>
    <t>Annual Operating Cost</t>
  </si>
  <si>
    <t>Ownership Cost</t>
  </si>
  <si>
    <t>Depreciation</t>
  </si>
  <si>
    <t>Average Annual Interest Cost*</t>
  </si>
  <si>
    <t>Death Loss (% of  Purchase Cost)</t>
  </si>
  <si>
    <t>Annual Ownership Cost</t>
  </si>
  <si>
    <t xml:space="preserve">Exposed/Yr. </t>
  </si>
  <si>
    <t xml:space="preserve"> Breeding Seasons Per Year</t>
  </si>
  <si>
    <t>Cows Exposed/Bull</t>
  </si>
  <si>
    <t>% of Calf Val.</t>
  </si>
  <si>
    <t>Total &amp; Cost per Cow Exposed - Cwt. Weaned</t>
  </si>
  <si>
    <t>Total Cost per Calf Weaned</t>
  </si>
  <si>
    <t>Calves During Life of Bull</t>
  </si>
  <si>
    <t>Purchase Cost  of Bull</t>
  </si>
  <si>
    <t>Useful Life - Years</t>
  </si>
  <si>
    <t>Wt. Lb./Hd.</t>
  </si>
  <si>
    <t xml:space="preserve">  $/Head</t>
  </si>
  <si>
    <t xml:space="preserve">Bull Salvage Value </t>
  </si>
  <si>
    <t>Interest rate Used</t>
  </si>
  <si>
    <t>Average investment is cost plus salvage value divided by 2 or</t>
  </si>
  <si>
    <t>---------------------------------------</t>
  </si>
  <si>
    <t>Weaned Calf Crop - Based of Exposed Females</t>
  </si>
  <si>
    <t>Weaned Calf Price</t>
  </si>
  <si>
    <t>Lb.</t>
  </si>
  <si>
    <t>Head of</t>
  </si>
  <si>
    <t>Weaned Calf/Exposed Female</t>
  </si>
  <si>
    <t>Calves/Bull</t>
  </si>
  <si>
    <t xml:space="preserve">       Calves per Bull Investment</t>
  </si>
  <si>
    <t>-------------------------------------------------------------------------------------------------------------------------------------------------------------------------</t>
  </si>
  <si>
    <t>Annual Bull Cost for Different Bull Purchase Cost</t>
  </si>
  <si>
    <t>Annual
Bull Service Cost per Cow</t>
  </si>
  <si>
    <t>Annual
Service Cost per Cwt Weaned*</t>
  </si>
  <si>
    <t>Change in
Cow
Service Cost</t>
  </si>
  <si>
    <t>Pounds of Weaned Calf per Cow*</t>
  </si>
  <si>
    <t>Breeding Cow Annual Total Production Cost</t>
  </si>
  <si>
    <t>$/Cow</t>
  </si>
  <si>
    <t>Table Price Increment</t>
  </si>
  <si>
    <t>Bull Per Hd.</t>
  </si>
  <si>
    <t>Price of Weaned Calf</t>
  </si>
  <si>
    <t>Per Cwt</t>
  </si>
  <si>
    <t xml:space="preserve">Bull as % </t>
  </si>
  <si>
    <t>of Total Cost</t>
  </si>
  <si>
    <t>Bull Purchase Cost</t>
  </si>
  <si>
    <t>Base Purchase cost</t>
  </si>
  <si>
    <t>*Change in pounds weaned per exposed female or percent weaned times average weaning weight.</t>
  </si>
  <si>
    <t>Comments:</t>
  </si>
  <si>
    <t>Bulls used  for spring calving herd</t>
  </si>
  <si>
    <t>Sensitivity Analysis to Number of Cows Serviced</t>
  </si>
  <si>
    <t>Table - Number of Cows Serviced Increment</t>
  </si>
  <si>
    <t>Head Annually</t>
  </si>
  <si>
    <t>Number of Cows Serviced Annually and Cost per Exposed Cow</t>
  </si>
  <si>
    <t>Head Serviced Annually</t>
  </si>
  <si>
    <t>Bull Annual Cost</t>
  </si>
  <si>
    <t>Benefit-Cost Ratio***</t>
  </si>
  <si>
    <t>Exposed Females</t>
  </si>
  <si>
    <t xml:space="preserve">Exposed Female to Bull Ratio </t>
  </si>
  <si>
    <t>Average Weaning Weight - Steers &amp; Heifers</t>
  </si>
  <si>
    <t>Reduce the number of bulls by one and save the annual bull cost.</t>
  </si>
  <si>
    <t xml:space="preserve">Benefit-Cost Ratio Analysis of Performing a Herd Bull </t>
  </si>
  <si>
    <t xml:space="preserve"> Breeding Soundness Examination (BSE)</t>
  </si>
  <si>
    <t xml:space="preserve">or Benefit-Cost Ratio </t>
  </si>
  <si>
    <t>Change in Income and Added Cost</t>
  </si>
  <si>
    <t>Benefit-Cost Ratio Sensitivity Analysis of Veterinary Fees</t>
  </si>
  <si>
    <t>Calf Crop</t>
  </si>
  <si>
    <t>Change Expected in Weaned Calf Crop With BSE*</t>
  </si>
  <si>
    <t xml:space="preserve">*Due to identifying &amp; placing only fertile bulls for breeding. </t>
  </si>
  <si>
    <t xml:space="preserve"> Versus</t>
  </si>
  <si>
    <t>**Dollar return for every dollar spent for vet fee.</t>
  </si>
  <si>
    <t>Benefit-Cost Ratio**</t>
  </si>
  <si>
    <t>Average Net Price of Weaned Calf</t>
  </si>
  <si>
    <t>**Returned for every $1 spent for BSE.</t>
  </si>
  <si>
    <t xml:space="preserve">  First</t>
  </si>
  <si>
    <t xml:space="preserve">  Second</t>
  </si>
  <si>
    <t xml:space="preserve">  Third</t>
  </si>
  <si>
    <t xml:space="preserve">  Forth </t>
  </si>
  <si>
    <t xml:space="preserve">  Fifth</t>
  </si>
  <si>
    <t>Weaning</t>
  </si>
  <si>
    <t>ADG</t>
  </si>
  <si>
    <t>Breeding Cycle Bred</t>
  </si>
  <si>
    <t>Birth Wt.</t>
  </si>
  <si>
    <t>Weight</t>
  </si>
  <si>
    <t xml:space="preserve">   Days</t>
  </si>
  <si>
    <t>Age Days</t>
  </si>
  <si>
    <t xml:space="preserve">Cattle Age at Weaning </t>
  </si>
  <si>
    <t>Base Weight Projection</t>
  </si>
  <si>
    <t>Base Weight</t>
  </si>
  <si>
    <t>Lb./Hd.</t>
  </si>
  <si>
    <t>Gross Income</t>
  </si>
  <si>
    <t>____________________________________</t>
  </si>
  <si>
    <t>Delivery Values Underweight</t>
  </si>
  <si>
    <t>Weigh Adjusted for Age</t>
  </si>
  <si>
    <t>Net Under Weight</t>
  </si>
  <si>
    <t>Price Slide</t>
  </si>
  <si>
    <t>$/Lb.</t>
  </si>
  <si>
    <t>Calculated Side</t>
  </si>
  <si>
    <t>Calculated Price</t>
  </si>
  <si>
    <t>Change in Gross Income</t>
  </si>
  <si>
    <t>__________________________________________</t>
  </si>
  <si>
    <t>*This is where there is no limit on slide weight or free weight to buyer.</t>
  </si>
  <si>
    <t>Days</t>
  </si>
  <si>
    <t xml:space="preserve">Age </t>
  </si>
  <si>
    <t>Price</t>
  </si>
  <si>
    <t>Gross</t>
  </si>
  <si>
    <t>Income</t>
  </si>
  <si>
    <t>Difference</t>
  </si>
  <si>
    <t xml:space="preserve">Base Price </t>
  </si>
  <si>
    <t>Months of Age</t>
  </si>
  <si>
    <t>Weaning- Age in Days</t>
  </si>
  <si>
    <t>_________________________________________________________________</t>
  </si>
  <si>
    <t>Third Cycle</t>
  </si>
  <si>
    <t>Second Cycle</t>
  </si>
  <si>
    <t>First Cycle</t>
  </si>
  <si>
    <t>Fourth Cycle</t>
  </si>
  <si>
    <t>Fifth Cycle</t>
  </si>
  <si>
    <t>BSE cost per exposed female</t>
  </si>
  <si>
    <t>Delayed Pregnancy Impact on Weaning Weight and Gross Calf Revenue With Weight  Price Slide</t>
  </si>
  <si>
    <t>Adjusted for percent weaned.</t>
  </si>
  <si>
    <t>Not adjusted for weaning percent.</t>
  </si>
  <si>
    <t>See sheet 3.</t>
  </si>
  <si>
    <t>Freight Cost if Bulls are Taken to the Vet Clinic</t>
  </si>
  <si>
    <t>(Added labor and freight cost remains the same)</t>
  </si>
  <si>
    <t>Total Cost Per Female Exposed</t>
  </si>
  <si>
    <t xml:space="preserve">Change in Income </t>
  </si>
  <si>
    <t xml:space="preserve">    $/Cwt.</t>
  </si>
  <si>
    <t>Weaning %</t>
  </si>
  <si>
    <r>
      <t>Cost of BSE - Fees</t>
    </r>
    <r>
      <rPr>
        <b/>
        <sz val="11"/>
        <color theme="1"/>
        <rFont val="Arial"/>
        <family val="2"/>
      </rPr>
      <t xml:space="preserve"> (Veterinarian, Equip., Supplies &amp; Lab Fees)</t>
    </r>
  </si>
  <si>
    <t>Added Producer Labor Cost to Gather Bulls for BSE</t>
  </si>
  <si>
    <t>Health Related</t>
  </si>
  <si>
    <t>Vaccination</t>
  </si>
  <si>
    <t>Cows</t>
  </si>
  <si>
    <t>Cost $/Hd.</t>
  </si>
  <si>
    <t>Total Cost</t>
  </si>
  <si>
    <t>Herd Bulls</t>
  </si>
  <si>
    <t xml:space="preserve">Annual BSE </t>
  </si>
  <si>
    <t>Cost</t>
  </si>
  <si>
    <t>Salvage Value</t>
  </si>
  <si>
    <t>Sale Val.</t>
  </si>
  <si>
    <t>Salvage</t>
  </si>
  <si>
    <t>Value</t>
  </si>
  <si>
    <t>Cost to</t>
  </si>
  <si>
    <t>Sell</t>
  </si>
  <si>
    <t>Breeding Cow</t>
  </si>
  <si>
    <t>Loss</t>
  </si>
  <si>
    <t xml:space="preserve">Purchase </t>
  </si>
  <si>
    <t>Herd Bull - Loss</t>
  </si>
  <si>
    <t>Head</t>
  </si>
  <si>
    <t>Financial Loss</t>
  </si>
  <si>
    <t xml:space="preserve">For a herd </t>
  </si>
  <si>
    <t>Bulls</t>
  </si>
  <si>
    <t>Total Loss</t>
  </si>
  <si>
    <t>Value of Calf Produced</t>
  </si>
  <si>
    <t>Head of Calves</t>
  </si>
  <si>
    <t>% of Value</t>
  </si>
  <si>
    <t>Normal Calf Crop</t>
  </si>
  <si>
    <t xml:space="preserve">       Head</t>
  </si>
  <si>
    <t>Years to recover with zero cost of production.</t>
  </si>
  <si>
    <t>Sale Price</t>
  </si>
  <si>
    <t>Value/Hd.</t>
  </si>
  <si>
    <t>Breeding Cows</t>
  </si>
  <si>
    <t xml:space="preserve">Replacement </t>
  </si>
  <si>
    <t>Percent</t>
  </si>
  <si>
    <t>Cows Exposed</t>
  </si>
  <si>
    <t>Calf Wt.</t>
  </si>
  <si>
    <t>Average</t>
  </si>
  <si>
    <t xml:space="preserve">Gross </t>
  </si>
  <si>
    <t>Revenue</t>
  </si>
  <si>
    <t>Change In</t>
  </si>
  <si>
    <t>Per Head</t>
  </si>
  <si>
    <t>Change in Revenue per Cow Exposed for a 10% change in weaning %</t>
  </si>
  <si>
    <t>Value/Head</t>
  </si>
  <si>
    <t>Value/$/Cwt.</t>
  </si>
  <si>
    <t>Method Used</t>
  </si>
  <si>
    <t>Month</t>
  </si>
  <si>
    <t>Other</t>
  </si>
  <si>
    <t>Per Female</t>
  </si>
  <si>
    <t xml:space="preserve">Total </t>
  </si>
  <si>
    <t>Percent Non-Pregnant Cows</t>
  </si>
  <si>
    <t>Rectal Palpation</t>
  </si>
  <si>
    <t>Days After</t>
  </si>
  <si>
    <t xml:space="preserve">End of </t>
  </si>
  <si>
    <t>Services</t>
  </si>
  <si>
    <t>Ultrasound</t>
  </si>
  <si>
    <t>Cost/Hd.</t>
  </si>
  <si>
    <t>Number of Exposed Females</t>
  </si>
  <si>
    <t>Savings</t>
  </si>
  <si>
    <t>_________________________________________</t>
  </si>
  <si>
    <t>Pregnancy Testing Economics</t>
  </si>
  <si>
    <t>Breeding</t>
  </si>
  <si>
    <t>Cost of</t>
  </si>
  <si>
    <t xml:space="preserve">   Herd Cost</t>
  </si>
  <si>
    <t xml:space="preserve"> Cull Sales</t>
  </si>
  <si>
    <t>Steer</t>
  </si>
  <si>
    <t>Heifer</t>
  </si>
  <si>
    <t>Breeding Stock</t>
  </si>
  <si>
    <t>_______________________________________________________________________________________________________</t>
  </si>
  <si>
    <t>Gain</t>
  </si>
  <si>
    <t>Ave. Cost per</t>
  </si>
  <si>
    <t>45-120</t>
  </si>
  <si>
    <t>30-45</t>
  </si>
  <si>
    <t>Biochemical Tests or Blood Test</t>
  </si>
  <si>
    <t>BSE Exam - See Sheet 6.</t>
  </si>
  <si>
    <t xml:space="preserve">       Years</t>
  </si>
  <si>
    <t>Calves/Yr.</t>
  </si>
  <si>
    <t>See sheet 6.</t>
  </si>
  <si>
    <t>Savings By Culling Open Cows**</t>
  </si>
  <si>
    <t xml:space="preserve">University of Idaho Extension, Bul.913 </t>
  </si>
  <si>
    <t>Costs**</t>
  </si>
  <si>
    <t>__________________________________________________________________________________</t>
  </si>
  <si>
    <t>Or what could be paid for a program to control factors that reduce the weaning rate.</t>
  </si>
  <si>
    <t>Cow-Calf Herd Calf Revenue By Weaning Percent - What Can Be Paid for Prevention</t>
  </si>
  <si>
    <t>Calf</t>
  </si>
  <si>
    <t>Beginning Breeding Season</t>
  </si>
  <si>
    <t>Ending Breeding Season</t>
  </si>
  <si>
    <t>Beginning Calving Date</t>
  </si>
  <si>
    <t>Ending Calving Date</t>
  </si>
  <si>
    <t xml:space="preserve">            Days</t>
  </si>
  <si>
    <t>Cull Open</t>
  </si>
  <si>
    <t>If Don't Test</t>
  </si>
  <si>
    <t xml:space="preserve">  Days Held</t>
  </si>
  <si>
    <t>Months Held</t>
  </si>
  <si>
    <t xml:space="preserve"> Held Open</t>
  </si>
  <si>
    <t xml:space="preserve">           Dates</t>
  </si>
  <si>
    <t>Cull at End of Calving Season</t>
  </si>
  <si>
    <t>Cull at Pregnancy Testing Date</t>
  </si>
  <si>
    <t xml:space="preserve"> Value </t>
  </si>
  <si>
    <t xml:space="preserve">Sale </t>
  </si>
  <si>
    <t xml:space="preserve">Weight </t>
  </si>
  <si>
    <t xml:space="preserve"> Lb./Head.</t>
  </si>
  <si>
    <t xml:space="preserve">Pregnancy </t>
  </si>
  <si>
    <t xml:space="preserve"> Percent</t>
  </si>
  <si>
    <t>Test Timing</t>
  </si>
  <si>
    <t>Herd</t>
  </si>
  <si>
    <t xml:space="preserve">Percent </t>
  </si>
  <si>
    <t>Open</t>
  </si>
  <si>
    <t>Of Exposed Females</t>
  </si>
  <si>
    <t>___________________________________________________________________________________________</t>
  </si>
  <si>
    <t xml:space="preserve">    If Tested</t>
  </si>
  <si>
    <t xml:space="preserve">  If Tested</t>
  </si>
  <si>
    <t xml:space="preserve">   Cost per</t>
  </si>
  <si>
    <t>Season*</t>
  </si>
  <si>
    <t>*Information source:</t>
  </si>
  <si>
    <t xml:space="preserve"> Herd Cost</t>
  </si>
  <si>
    <t>Service $/Hd.</t>
  </si>
  <si>
    <t>Labor $/Hd.</t>
  </si>
  <si>
    <t>Costs $/Hd.</t>
  </si>
  <si>
    <t>Day Held</t>
  </si>
  <si>
    <t>Lower cost time of the year for spring herd.</t>
  </si>
  <si>
    <t>Less Months Held</t>
  </si>
  <si>
    <t>**Reflect date of pregnancy test and culling.</t>
  </si>
  <si>
    <t>Testing Days After End of Season</t>
  </si>
  <si>
    <t>Does not account for early open detection and seasonal advantage of early sales price of cull cows.</t>
  </si>
  <si>
    <t>Notes</t>
  </si>
  <si>
    <t>Herd Investment at Replacement cost</t>
  </si>
  <si>
    <t xml:space="preserve">Herd Bull </t>
  </si>
  <si>
    <t>Number of Herd Bulls</t>
  </si>
  <si>
    <t>Investment</t>
  </si>
  <si>
    <t>Exposed Females per Bull</t>
  </si>
  <si>
    <t>Investment per Exposed Female</t>
  </si>
  <si>
    <t xml:space="preserve">       $/Head</t>
  </si>
  <si>
    <t>Total Herd Investment at Replacement Cost</t>
  </si>
  <si>
    <t>Average Price and Value</t>
  </si>
  <si>
    <t>If Culled</t>
  </si>
  <si>
    <t>Net Sale Val.</t>
  </si>
  <si>
    <t>*Net sales value is net of marketing cost including hauling or freight.</t>
  </si>
  <si>
    <t>___________________________________________________________________________________</t>
  </si>
  <si>
    <t>Replacement</t>
  </si>
  <si>
    <t>________________</t>
  </si>
  <si>
    <t>Costs of Culling a Herd for Trichomoniasis or Trich</t>
  </si>
  <si>
    <t xml:space="preserve">   Total </t>
  </si>
  <si>
    <t>Number of herd Bulls</t>
  </si>
  <si>
    <t>Total</t>
  </si>
  <si>
    <t xml:space="preserve">Number of Preweaned Calves </t>
  </si>
  <si>
    <t>Herd Cost</t>
  </si>
  <si>
    <t>Total Herd Cost</t>
  </si>
  <si>
    <t xml:space="preserve">     Other Practice</t>
  </si>
  <si>
    <t>Number of Weaned-Preconditioned</t>
  </si>
  <si>
    <t>Likely will not match fiscal year cash needs do to timing of expenditures.</t>
  </si>
  <si>
    <t>Costs/Hd.</t>
  </si>
  <si>
    <t>If precondioned</t>
  </si>
  <si>
    <t>**Using common values facilitate using the same values when reviewing different decision aid practices.</t>
  </si>
  <si>
    <t>$/Cwt.*</t>
  </si>
  <si>
    <t>Per Head*</t>
  </si>
  <si>
    <t>Weaned Calf Weight and Values</t>
  </si>
  <si>
    <t>Preweaned Calves</t>
  </si>
  <si>
    <t>Twice before weaning</t>
  </si>
  <si>
    <t>Weaned or Preconditioned Calves</t>
  </si>
  <si>
    <t>Cash Budget of Costs for Planning Purpose</t>
  </si>
  <si>
    <t>Cattle Prices and  Investments Used for Cattle in Health Economics Decision Aids</t>
  </si>
  <si>
    <t xml:space="preserve">Months </t>
  </si>
  <si>
    <t>Breeding and Culling Dates</t>
  </si>
  <si>
    <t>Days Held After End of Breeding Season Before Culled</t>
  </si>
  <si>
    <t>Breeding Season</t>
  </si>
  <si>
    <t>Days-beginning to ending of breeding season and calving.</t>
  </si>
  <si>
    <t>Includes the wintering costs.</t>
  </si>
  <si>
    <t>Savings By Pregnant Testing</t>
  </si>
  <si>
    <t>Savings by Testing and Culling</t>
  </si>
  <si>
    <t xml:space="preserve">  Head Open</t>
  </si>
  <si>
    <t>Early culling also provides more opportunities to buy replacement more timely.</t>
  </si>
  <si>
    <t>Less Cost/Hd.</t>
  </si>
  <si>
    <t xml:space="preserve">Danielle Gunn  John B. Hall, "Pregnancy Testing in Beef Cattle", </t>
  </si>
  <si>
    <t>Head In Herd</t>
  </si>
  <si>
    <t>Total Herd Financial Loss if Liquidated</t>
  </si>
  <si>
    <t xml:space="preserve">Basically the operation is out of business. </t>
  </si>
  <si>
    <t>Trich is often found after a breeding season resulting a heavy losses reflected in the weaning percent</t>
  </si>
  <si>
    <t>Vit/Min Injectable</t>
  </si>
  <si>
    <t>Implant</t>
  </si>
  <si>
    <t>Respiratory</t>
  </si>
  <si>
    <t>Parasite control</t>
  </si>
  <si>
    <r>
      <t xml:space="preserve">Cow-Calf Herd </t>
    </r>
    <r>
      <rPr>
        <b/>
        <sz val="12"/>
        <color rgb="FFFF0000"/>
        <rFont val="Arial"/>
        <family val="2"/>
      </rPr>
      <t>Yearly</t>
    </r>
    <r>
      <rPr>
        <b/>
        <sz val="12"/>
        <color theme="1"/>
        <rFont val="Arial"/>
        <family val="2"/>
      </rPr>
      <t xml:space="preserve"> Health Costs</t>
    </r>
  </si>
  <si>
    <t>Respiratory/Lepto (Fall)</t>
  </si>
  <si>
    <t>Clostridial (Fall)</t>
  </si>
  <si>
    <t>Parasite Control (Spring)</t>
  </si>
  <si>
    <t>Vit/Min Injectable (Spring)</t>
  </si>
  <si>
    <t>Pregnancy Test (Fall)</t>
  </si>
  <si>
    <t>Vit/Min Injectable (Fall))</t>
  </si>
  <si>
    <t>Parasite Control (Fall)</t>
  </si>
  <si>
    <t>Respiratory/Lepto (Spring)</t>
  </si>
  <si>
    <t>Clostridial (Spring)</t>
  </si>
  <si>
    <t>Estimated health costs for Spring calving herd.  Parasite control includes external and internal parasite</t>
  </si>
  <si>
    <t>treatments</t>
  </si>
  <si>
    <t>I always thought from what I read that cows needed to be at least 30 days bred and at least 60 days post partum</t>
  </si>
  <si>
    <t>Cow-Calf Herd</t>
  </si>
  <si>
    <t>Calves Producer</t>
  </si>
  <si>
    <t>Average Daily Gain - Lb.</t>
  </si>
  <si>
    <t>Base Weight Price Slide By Age and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</si>
</sst>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&quot;$&quot;#,##0"/>
    <numFmt numFmtId="167" formatCode="&quot;$&quot;#,##0.00"/>
    <numFmt numFmtId="168" formatCode="0.0_);[Red]\(0.0\)"/>
    <numFmt numFmtId="169" formatCode="0.0"/>
    <numFmt numFmtId="170" formatCode="mmmm\ d\,\ yyyy"/>
    <numFmt numFmtId="171" formatCode="0.0%"/>
    <numFmt numFmtId="172" formatCode="_(* #,##0_);_(* \(#,##0\);_(* &quot;-&quot;??_);_(@_)"/>
    <numFmt numFmtId="173" formatCode="_(* #,##0.0_);_(* \(#,##0.0\);_(* &quot;-&quot;?_);_(@_)"/>
    <numFmt numFmtId="174" formatCode="mm/dd/yy;@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color theme="1"/>
      <name val="Arial Black"/>
      <family val="2"/>
    </font>
    <font>
      <sz val="11"/>
      <color indexed="12"/>
      <name val="Arial"/>
      <family val="2"/>
    </font>
    <font>
      <sz val="11"/>
      <color indexed="48"/>
      <name val="Arial"/>
      <family val="2"/>
    </font>
    <font>
      <sz val="11"/>
      <color indexed="39"/>
      <name val="Arial"/>
      <family val="2"/>
    </font>
    <font>
      <b/>
      <sz val="11"/>
      <color indexed="48"/>
      <name val="Arial"/>
      <family val="2"/>
    </font>
    <font>
      <b/>
      <i/>
      <sz val="11"/>
      <name val="Arial"/>
      <family val="2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2"/>
      <color rgb="FF3333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1"/>
      <color theme="1"/>
      <name val="Arial"/>
      <family val="2"/>
    </font>
    <font>
      <sz val="11"/>
      <color rgb="FF3333FF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98">
    <xf numFmtId="0" fontId="0" fillId="0" borderId="0" xfId="0"/>
    <xf numFmtId="0" fontId="30" fillId="0" borderId="0" xfId="0" applyFont="1" applyProtection="1">
      <protection hidden="1"/>
    </xf>
    <xf numFmtId="0" fontId="0" fillId="0" borderId="0" xfId="0" applyProtection="1">
      <protection hidden="1"/>
    </xf>
    <xf numFmtId="0" fontId="31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8" fontId="32" fillId="0" borderId="0" xfId="0" applyNumberFormat="1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5" fontId="32" fillId="0" borderId="0" xfId="0" applyNumberFormat="1" applyFont="1" applyProtection="1">
      <protection hidden="1"/>
    </xf>
    <xf numFmtId="8" fontId="30" fillId="0" borderId="0" xfId="0" applyNumberFormat="1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8" fontId="33" fillId="0" borderId="0" xfId="0" applyNumberFormat="1" applyFont="1" applyProtection="1">
      <protection hidden="1"/>
    </xf>
    <xf numFmtId="40" fontId="32" fillId="0" borderId="0" xfId="0" applyNumberFormat="1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28" fillId="0" borderId="0" xfId="0" applyFont="1"/>
    <xf numFmtId="0" fontId="33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35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164" fontId="36" fillId="0" borderId="1" xfId="0" applyNumberFormat="1" applyFont="1" applyBorder="1" applyProtection="1">
      <protection locked="0"/>
    </xf>
    <xf numFmtId="0" fontId="37" fillId="0" borderId="0" xfId="0" applyFont="1" applyProtection="1">
      <protection hidden="1"/>
    </xf>
    <xf numFmtId="165" fontId="36" fillId="0" borderId="1" xfId="0" applyNumberFormat="1" applyFont="1" applyBorder="1" applyProtection="1">
      <protection locked="0"/>
    </xf>
    <xf numFmtId="8" fontId="36" fillId="0" borderId="1" xfId="0" applyNumberFormat="1" applyFont="1" applyBorder="1" applyProtection="1">
      <protection locked="0"/>
    </xf>
    <xf numFmtId="8" fontId="27" fillId="0" borderId="0" xfId="0" applyNumberFormat="1" applyFont="1" applyProtection="1">
      <protection hidden="1"/>
    </xf>
    <xf numFmtId="0" fontId="34" fillId="0" borderId="0" xfId="0" applyFont="1" applyProtection="1">
      <protection hidden="1"/>
    </xf>
    <xf numFmtId="0" fontId="37" fillId="0" borderId="0" xfId="0" applyFont="1" applyAlignment="1" applyProtection="1">
      <alignment horizontal="center"/>
      <protection hidden="1"/>
    </xf>
    <xf numFmtId="8" fontId="31" fillId="0" borderId="0" xfId="0" applyNumberFormat="1" applyFont="1" applyProtection="1">
      <protection hidden="1"/>
    </xf>
    <xf numFmtId="8" fontId="37" fillId="0" borderId="0" xfId="0" applyNumberFormat="1" applyFont="1" applyAlignment="1" applyProtection="1">
      <alignment horizontal="right"/>
      <protection hidden="1"/>
    </xf>
    <xf numFmtId="8" fontId="27" fillId="0" borderId="0" xfId="0" applyNumberFormat="1" applyFont="1" applyAlignment="1" applyProtection="1">
      <alignment horizontal="right"/>
      <protection hidden="1"/>
    </xf>
    <xf numFmtId="2" fontId="31" fillId="0" borderId="0" xfId="0" applyNumberFormat="1" applyFont="1" applyAlignment="1" applyProtection="1">
      <alignment horizontal="right"/>
      <protection hidden="1"/>
    </xf>
    <xf numFmtId="0" fontId="27" fillId="0" borderId="0" xfId="0" applyFont="1"/>
    <xf numFmtId="8" fontId="27" fillId="0" borderId="0" xfId="0" applyNumberFormat="1" applyFont="1" applyAlignment="1" applyProtection="1">
      <alignment horizontal="center"/>
      <protection hidden="1"/>
    </xf>
    <xf numFmtId="165" fontId="31" fillId="0" borderId="0" xfId="0" applyNumberFormat="1" applyFont="1" applyProtection="1">
      <protection hidden="1"/>
    </xf>
    <xf numFmtId="8" fontId="37" fillId="0" borderId="2" xfId="0" applyNumberFormat="1" applyFont="1" applyBorder="1" applyAlignment="1" applyProtection="1">
      <alignment horizontal="center"/>
      <protection hidden="1"/>
    </xf>
    <xf numFmtId="8" fontId="37" fillId="0" borderId="0" xfId="0" applyNumberFormat="1" applyFont="1" applyAlignment="1" applyProtection="1">
      <alignment horizontal="center"/>
      <protection hidden="1"/>
    </xf>
    <xf numFmtId="8" fontId="37" fillId="0" borderId="4" xfId="0" applyNumberFormat="1" applyFont="1" applyBorder="1" applyProtection="1">
      <protection hidden="1"/>
    </xf>
    <xf numFmtId="8" fontId="37" fillId="0" borderId="0" xfId="0" applyNumberFormat="1" applyFont="1" applyProtection="1">
      <protection hidden="1"/>
    </xf>
    <xf numFmtId="0" fontId="34" fillId="0" borderId="0" xfId="0" applyFont="1"/>
    <xf numFmtId="40" fontId="31" fillId="0" borderId="0" xfId="0" applyNumberFormat="1" applyFont="1" applyProtection="1">
      <protection hidden="1"/>
    </xf>
    <xf numFmtId="8" fontId="31" fillId="0" borderId="0" xfId="0" applyNumberFormat="1" applyFont="1" applyAlignment="1" applyProtection="1">
      <alignment horizontal="center"/>
      <protection hidden="1"/>
    </xf>
    <xf numFmtId="6" fontId="37" fillId="0" borderId="3" xfId="0" applyNumberFormat="1" applyFont="1" applyBorder="1" applyProtection="1">
      <protection hidden="1"/>
    </xf>
    <xf numFmtId="0" fontId="31" fillId="0" borderId="0" xfId="0" applyFont="1" applyAlignment="1">
      <alignment horizontal="center"/>
    </xf>
    <xf numFmtId="167" fontId="0" fillId="0" borderId="0" xfId="0" applyNumberFormat="1"/>
    <xf numFmtId="169" fontId="32" fillId="0" borderId="0" xfId="0" applyNumberFormat="1" applyFont="1"/>
    <xf numFmtId="170" fontId="39" fillId="0" borderId="0" xfId="0" applyNumberFormat="1" applyFont="1" applyAlignment="1">
      <alignment horizontal="center"/>
    </xf>
    <xf numFmtId="0" fontId="40" fillId="0" borderId="0" xfId="0" applyFont="1"/>
    <xf numFmtId="166" fontId="42" fillId="0" borderId="0" xfId="0" applyNumberFormat="1" applyFont="1"/>
    <xf numFmtId="166" fontId="43" fillId="0" borderId="0" xfId="0" applyNumberFormat="1" applyFont="1" applyProtection="1">
      <protection hidden="1"/>
    </xf>
    <xf numFmtId="0" fontId="42" fillId="0" borderId="0" xfId="0" applyFont="1"/>
    <xf numFmtId="0" fontId="42" fillId="0" borderId="0" xfId="0" applyFont="1" applyAlignment="1">
      <alignment horizontal="center" wrapText="1"/>
    </xf>
    <xf numFmtId="166" fontId="44" fillId="0" borderId="1" xfId="0" applyNumberFormat="1" applyFont="1" applyBorder="1" applyProtection="1">
      <protection locked="0"/>
    </xf>
    <xf numFmtId="167" fontId="45" fillId="0" borderId="0" xfId="0" applyNumberFormat="1" applyFont="1"/>
    <xf numFmtId="167" fontId="40" fillId="0" borderId="0" xfId="0" applyNumberFormat="1" applyFont="1"/>
    <xf numFmtId="6" fontId="0" fillId="0" borderId="0" xfId="0" applyNumberFormat="1"/>
    <xf numFmtId="167" fontId="47" fillId="0" borderId="0" xfId="0" applyNumberFormat="1" applyFont="1"/>
    <xf numFmtId="167" fontId="42" fillId="0" borderId="0" xfId="0" applyNumberFormat="1" applyFont="1"/>
    <xf numFmtId="9" fontId="42" fillId="0" borderId="0" xfId="2" applyFont="1"/>
    <xf numFmtId="166" fontId="40" fillId="0" borderId="0" xfId="0" applyNumberFormat="1" applyFont="1"/>
    <xf numFmtId="168" fontId="44" fillId="0" borderId="1" xfId="2" applyNumberFormat="1" applyFont="1" applyBorder="1" applyAlignment="1" applyProtection="1">
      <alignment horizontal="right"/>
      <protection locked="0"/>
    </xf>
    <xf numFmtId="3" fontId="42" fillId="0" borderId="0" xfId="0" applyNumberFormat="1" applyFont="1"/>
    <xf numFmtId="10" fontId="42" fillId="0" borderId="0" xfId="0" applyNumberFormat="1" applyFont="1"/>
    <xf numFmtId="1" fontId="42" fillId="0" borderId="0" xfId="0" applyNumberFormat="1" applyFont="1"/>
    <xf numFmtId="6" fontId="44" fillId="0" borderId="1" xfId="0" applyNumberFormat="1" applyFont="1" applyBorder="1" applyProtection="1">
      <protection locked="0"/>
    </xf>
    <xf numFmtId="6" fontId="44" fillId="0" borderId="0" xfId="0" applyNumberFormat="1" applyFont="1" applyProtection="1">
      <protection locked="0"/>
    </xf>
    <xf numFmtId="169" fontId="44" fillId="0" borderId="1" xfId="0" applyNumberFormat="1" applyFont="1" applyBorder="1" applyProtection="1">
      <protection locked="0"/>
    </xf>
    <xf numFmtId="0" fontId="0" fillId="0" borderId="0" xfId="0" quotePrefix="1"/>
    <xf numFmtId="0" fontId="40" fillId="0" borderId="0" xfId="0" applyFont="1" applyAlignment="1">
      <alignment horizontal="center"/>
    </xf>
    <xf numFmtId="6" fontId="40" fillId="0" borderId="0" xfId="0" applyNumberFormat="1" applyFont="1"/>
    <xf numFmtId="164" fontId="44" fillId="0" borderId="0" xfId="2" applyNumberFormat="1" applyFont="1" applyAlignment="1" applyProtection="1">
      <alignment horizontal="right"/>
      <protection locked="0"/>
    </xf>
    <xf numFmtId="169" fontId="42" fillId="0" borderId="0" xfId="0" applyNumberFormat="1" applyFont="1"/>
    <xf numFmtId="0" fontId="40" fillId="0" borderId="0" xfId="0" quotePrefix="1" applyFont="1"/>
    <xf numFmtId="8" fontId="0" fillId="0" borderId="0" xfId="0" applyNumberFormat="1"/>
    <xf numFmtId="170" fontId="40" fillId="0" borderId="0" xfId="0" applyNumberFormat="1" applyFont="1" applyAlignment="1">
      <alignment horizontal="left"/>
    </xf>
    <xf numFmtId="170" fontId="40" fillId="0" borderId="0" xfId="0" applyNumberFormat="1" applyFont="1" applyAlignment="1">
      <alignment horizontal="center"/>
    </xf>
    <xf numFmtId="170" fontId="48" fillId="0" borderId="0" xfId="0" applyNumberFormat="1" applyFont="1" applyAlignment="1">
      <alignment horizontal="center"/>
    </xf>
    <xf numFmtId="6" fontId="44" fillId="0" borderId="0" xfId="0" applyNumberFormat="1" applyFont="1"/>
    <xf numFmtId="8" fontId="40" fillId="0" borderId="0" xfId="0" applyNumberFormat="1" applyFont="1" applyAlignment="1">
      <alignment horizontal="center" wrapText="1"/>
    </xf>
    <xf numFmtId="169" fontId="40" fillId="0" borderId="0" xfId="0" applyNumberFormat="1" applyFont="1"/>
    <xf numFmtId="6" fontId="42" fillId="0" borderId="0" xfId="0" applyNumberFormat="1" applyFont="1"/>
    <xf numFmtId="8" fontId="42" fillId="0" borderId="1" xfId="0" applyNumberFormat="1" applyFont="1" applyBorder="1" applyAlignment="1">
      <alignment horizontal="center" wrapText="1"/>
    </xf>
    <xf numFmtId="171" fontId="42" fillId="0" borderId="0" xfId="2" applyNumberFormat="1" applyFont="1"/>
    <xf numFmtId="8" fontId="42" fillId="0" borderId="0" xfId="0" applyNumberFormat="1" applyFont="1" applyAlignment="1">
      <alignment horizontal="center" wrapText="1"/>
    </xf>
    <xf numFmtId="0" fontId="46" fillId="0" borderId="5" xfId="0" applyFont="1" applyBorder="1" applyProtection="1">
      <protection locked="0"/>
    </xf>
    <xf numFmtId="0" fontId="46" fillId="0" borderId="6" xfId="0" applyFont="1" applyBorder="1" applyProtection="1">
      <protection locked="0"/>
    </xf>
    <xf numFmtId="0" fontId="46" fillId="0" borderId="7" xfId="0" applyFont="1" applyBorder="1" applyProtection="1">
      <protection locked="0"/>
    </xf>
    <xf numFmtId="1" fontId="44" fillId="0" borderId="1" xfId="1" applyNumberFormat="1" applyFont="1" applyBorder="1" applyAlignment="1" applyProtection="1">
      <alignment horizontal="center"/>
      <protection locked="0"/>
    </xf>
    <xf numFmtId="8" fontId="44" fillId="0" borderId="0" xfId="0" applyNumberFormat="1" applyFont="1" applyProtection="1">
      <protection locked="0"/>
    </xf>
    <xf numFmtId="38" fontId="40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8" fontId="35" fillId="0" borderId="0" xfId="0" applyNumberFormat="1" applyFont="1"/>
    <xf numFmtId="0" fontId="35" fillId="0" borderId="0" xfId="0" applyFont="1"/>
    <xf numFmtId="6" fontId="35" fillId="0" borderId="0" xfId="0" applyNumberFormat="1" applyFont="1"/>
    <xf numFmtId="38" fontId="35" fillId="0" borderId="0" xfId="0" applyNumberFormat="1" applyFont="1" applyAlignment="1">
      <alignment horizontal="center"/>
    </xf>
    <xf numFmtId="171" fontId="35" fillId="0" borderId="0" xfId="2" applyNumberFormat="1" applyFont="1"/>
    <xf numFmtId="167" fontId="35" fillId="0" borderId="0" xfId="0" applyNumberFormat="1" applyFont="1"/>
    <xf numFmtId="0" fontId="35" fillId="0" borderId="0" xfId="0" applyFont="1" applyAlignment="1">
      <alignment horizontal="center"/>
    </xf>
    <xf numFmtId="168" fontId="36" fillId="0" borderId="1" xfId="0" applyNumberFormat="1" applyFont="1" applyBorder="1" applyProtection="1">
      <protection locked="0"/>
    </xf>
    <xf numFmtId="0" fontId="42" fillId="0" borderId="0" xfId="0" applyFont="1" applyProtection="1">
      <protection hidden="1"/>
    </xf>
    <xf numFmtId="3" fontId="44" fillId="0" borderId="1" xfId="0" applyNumberFormat="1" applyFont="1" applyBorder="1" applyProtection="1">
      <protection locked="0"/>
    </xf>
    <xf numFmtId="167" fontId="42" fillId="0" borderId="1" xfId="0" applyNumberFormat="1" applyFont="1" applyBorder="1"/>
    <xf numFmtId="6" fontId="37" fillId="0" borderId="0" xfId="0" applyNumberFormat="1" applyFont="1" applyProtection="1">
      <protection hidden="1"/>
    </xf>
    <xf numFmtId="0" fontId="34" fillId="0" borderId="0" xfId="0" applyFont="1" applyAlignment="1">
      <alignment horizontal="center"/>
    </xf>
    <xf numFmtId="0" fontId="26" fillId="0" borderId="0" xfId="0" applyFont="1" applyProtection="1">
      <protection hidden="1"/>
    </xf>
    <xf numFmtId="164" fontId="37" fillId="0" borderId="0" xfId="0" applyNumberFormat="1" applyFont="1"/>
    <xf numFmtId="0" fontId="49" fillId="0" borderId="0" xfId="0" applyFont="1" applyAlignment="1">
      <alignment horizontal="justify" vertical="center"/>
    </xf>
    <xf numFmtId="8" fontId="27" fillId="0" borderId="0" xfId="0" quotePrefix="1" applyNumberFormat="1" applyFont="1" applyAlignment="1" applyProtection="1">
      <alignment horizontal="right"/>
      <protection hidden="1"/>
    </xf>
    <xf numFmtId="40" fontId="31" fillId="0" borderId="10" xfId="0" applyNumberFormat="1" applyFont="1" applyBorder="1" applyProtection="1">
      <protection hidden="1"/>
    </xf>
    <xf numFmtId="0" fontId="52" fillId="0" borderId="0" xfId="0" applyFont="1" applyProtection="1">
      <protection hidden="1"/>
    </xf>
    <xf numFmtId="165" fontId="34" fillId="0" borderId="0" xfId="0" applyNumberFormat="1" applyFont="1" applyProtection="1">
      <protection hidden="1"/>
    </xf>
    <xf numFmtId="0" fontId="40" fillId="0" borderId="0" xfId="0" applyFont="1" applyProtection="1">
      <protection hidden="1"/>
    </xf>
    <xf numFmtId="8" fontId="31" fillId="0" borderId="3" xfId="0" applyNumberFormat="1" applyFont="1" applyBorder="1" applyProtection="1">
      <protection hidden="1"/>
    </xf>
    <xf numFmtId="0" fontId="24" fillId="0" borderId="0" xfId="0" applyFont="1" applyProtection="1">
      <protection hidden="1"/>
    </xf>
    <xf numFmtId="0" fontId="23" fillId="0" borderId="0" xfId="0" applyFont="1"/>
    <xf numFmtId="0" fontId="22" fillId="0" borderId="0" xfId="0" applyFont="1"/>
    <xf numFmtId="2" fontId="23" fillId="0" borderId="0" xfId="0" applyNumberFormat="1" applyFont="1"/>
    <xf numFmtId="0" fontId="37" fillId="0" borderId="0" xfId="0" applyFont="1"/>
    <xf numFmtId="0" fontId="31" fillId="0" borderId="0" xfId="0" applyFont="1"/>
    <xf numFmtId="167" fontId="31" fillId="0" borderId="0" xfId="0" applyNumberFormat="1" applyFont="1"/>
    <xf numFmtId="0" fontId="33" fillId="0" borderId="0" xfId="0" applyFont="1"/>
    <xf numFmtId="167" fontId="55" fillId="0" borderId="0" xfId="0" applyNumberFormat="1" applyFont="1" applyProtection="1">
      <protection locked="0"/>
    </xf>
    <xf numFmtId="8" fontId="37" fillId="0" borderId="0" xfId="0" applyNumberFormat="1" applyFont="1"/>
    <xf numFmtId="8" fontId="31" fillId="0" borderId="0" xfId="0" applyNumberFormat="1" applyFont="1"/>
    <xf numFmtId="0" fontId="21" fillId="0" borderId="0" xfId="0" applyFont="1"/>
    <xf numFmtId="1" fontId="31" fillId="0" borderId="0" xfId="0" applyNumberFormat="1" applyFont="1"/>
    <xf numFmtId="1" fontId="37" fillId="0" borderId="0" xfId="0" applyNumberFormat="1" applyFont="1"/>
    <xf numFmtId="167" fontId="21" fillId="0" borderId="0" xfId="0" applyNumberFormat="1" applyFont="1"/>
    <xf numFmtId="167" fontId="23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54" fillId="0" borderId="1" xfId="0" applyNumberFormat="1" applyFont="1" applyBorder="1" applyProtection="1">
      <protection locked="0"/>
    </xf>
    <xf numFmtId="0" fontId="53" fillId="0" borderId="1" xfId="0" applyFont="1" applyBorder="1" applyProtection="1">
      <protection locked="0"/>
    </xf>
    <xf numFmtId="8" fontId="34" fillId="0" borderId="0" xfId="0" applyNumberFormat="1" applyFont="1"/>
    <xf numFmtId="0" fontId="31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19" fillId="0" borderId="0" xfId="0" applyFont="1" applyProtection="1">
      <protection hidden="1"/>
    </xf>
    <xf numFmtId="8" fontId="37" fillId="0" borderId="0" xfId="0" applyNumberFormat="1" applyFont="1" applyAlignment="1" applyProtection="1">
      <alignment horizontal="left"/>
      <protection hidden="1"/>
    </xf>
    <xf numFmtId="0" fontId="18" fillId="0" borderId="0" xfId="0" applyFont="1"/>
    <xf numFmtId="0" fontId="18" fillId="0" borderId="0" xfId="0" applyFont="1" applyAlignment="1">
      <alignment horizontal="center"/>
    </xf>
    <xf numFmtId="3" fontId="37" fillId="0" borderId="0" xfId="0" applyNumberFormat="1" applyFont="1"/>
    <xf numFmtId="0" fontId="17" fillId="0" borderId="0" xfId="0" applyFont="1"/>
    <xf numFmtId="0" fontId="16" fillId="0" borderId="0" xfId="0" applyFont="1" applyProtection="1">
      <protection hidden="1"/>
    </xf>
    <xf numFmtId="0" fontId="57" fillId="0" borderId="0" xfId="0" applyFont="1" applyProtection="1">
      <protection locked="0"/>
    </xf>
    <xf numFmtId="0" fontId="15" fillId="0" borderId="0" xfId="0" applyFont="1"/>
    <xf numFmtId="0" fontId="53" fillId="0" borderId="8" xfId="0" applyFont="1" applyBorder="1" applyProtection="1">
      <protection locked="0"/>
    </xf>
    <xf numFmtId="0" fontId="53" fillId="0" borderId="0" xfId="0" applyFont="1" applyProtection="1">
      <protection locked="0"/>
    </xf>
    <xf numFmtId="167" fontId="53" fillId="0" borderId="8" xfId="0" applyNumberFormat="1" applyFont="1" applyBorder="1" applyProtection="1">
      <protection locked="0"/>
    </xf>
    <xf numFmtId="0" fontId="31" fillId="0" borderId="0" xfId="0" applyFont="1" applyProtection="1">
      <protection locked="0"/>
    </xf>
    <xf numFmtId="167" fontId="37" fillId="0" borderId="8" xfId="0" applyNumberFormat="1" applyFont="1" applyBorder="1" applyProtection="1">
      <protection locked="0"/>
    </xf>
    <xf numFmtId="0" fontId="56" fillId="0" borderId="0" xfId="0" applyFont="1"/>
    <xf numFmtId="0" fontId="5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8" fillId="0" borderId="0" xfId="0" applyFont="1"/>
    <xf numFmtId="9" fontId="34" fillId="0" borderId="0" xfId="2" applyFont="1"/>
    <xf numFmtId="171" fontId="34" fillId="0" borderId="0" xfId="0" applyNumberFormat="1" applyFont="1"/>
    <xf numFmtId="0" fontId="14" fillId="0" borderId="0" xfId="0" applyFont="1"/>
    <xf numFmtId="167" fontId="14" fillId="0" borderId="0" xfId="0" applyNumberFormat="1" applyFont="1"/>
    <xf numFmtId="166" fontId="14" fillId="0" borderId="0" xfId="0" applyNumberFormat="1" applyFont="1"/>
    <xf numFmtId="167" fontId="34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center"/>
    </xf>
    <xf numFmtId="167" fontId="13" fillId="0" borderId="0" xfId="0" applyNumberFormat="1" applyFont="1"/>
    <xf numFmtId="166" fontId="13" fillId="0" borderId="0" xfId="0" applyNumberFormat="1" applyFont="1"/>
    <xf numFmtId="167" fontId="53" fillId="0" borderId="0" xfId="0" applyNumberFormat="1" applyFont="1" applyProtection="1">
      <protection locked="0"/>
    </xf>
    <xf numFmtId="166" fontId="53" fillId="0" borderId="0" xfId="0" applyNumberFormat="1" applyFont="1" applyProtection="1">
      <protection locked="0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166" fontId="53" fillId="0" borderId="0" xfId="0" applyNumberFormat="1" applyFont="1"/>
    <xf numFmtId="172" fontId="53" fillId="0" borderId="0" xfId="4" applyNumberFormat="1" applyFont="1"/>
    <xf numFmtId="0" fontId="61" fillId="0" borderId="0" xfId="0" applyFont="1"/>
    <xf numFmtId="173" fontId="34" fillId="0" borderId="0" xfId="0" applyNumberFormat="1" applyFont="1"/>
    <xf numFmtId="0" fontId="11" fillId="0" borderId="0" xfId="0" applyFont="1" applyAlignment="1">
      <alignment horizontal="center"/>
    </xf>
    <xf numFmtId="166" fontId="37" fillId="0" borderId="0" xfId="0" applyNumberFormat="1" applyFont="1"/>
    <xf numFmtId="172" fontId="37" fillId="0" borderId="0" xfId="4" applyNumberFormat="1" applyFont="1"/>
    <xf numFmtId="166" fontId="11" fillId="0" borderId="0" xfId="0" applyNumberFormat="1" applyFont="1"/>
    <xf numFmtId="166" fontId="34" fillId="0" borderId="0" xfId="0" applyNumberFormat="1" applyFont="1"/>
    <xf numFmtId="1" fontId="34" fillId="0" borderId="0" xfId="0" applyNumberFormat="1" applyFont="1"/>
    <xf numFmtId="2" fontId="11" fillId="0" borderId="0" xfId="0" applyNumberFormat="1" applyFont="1"/>
    <xf numFmtId="167" fontId="31" fillId="0" borderId="1" xfId="0" applyNumberFormat="1" applyFont="1" applyBorder="1"/>
    <xf numFmtId="1" fontId="23" fillId="0" borderId="0" xfId="0" applyNumberFormat="1" applyFont="1"/>
    <xf numFmtId="3" fontId="40" fillId="0" borderId="0" xfId="0" applyNumberFormat="1" applyFont="1"/>
    <xf numFmtId="8" fontId="40" fillId="0" borderId="0" xfId="0" applyNumberFormat="1" applyFont="1"/>
    <xf numFmtId="164" fontId="40" fillId="0" borderId="0" xfId="2" applyNumberFormat="1" applyFont="1" applyAlignment="1">
      <alignment horizontal="right"/>
    </xf>
    <xf numFmtId="0" fontId="62" fillId="0" borderId="0" xfId="0" applyFont="1"/>
    <xf numFmtId="166" fontId="0" fillId="0" borderId="0" xfId="0" applyNumberFormat="1"/>
    <xf numFmtId="6" fontId="40" fillId="0" borderId="8" xfId="0" applyNumberFormat="1" applyFont="1" applyBorder="1"/>
    <xf numFmtId="168" fontId="40" fillId="0" borderId="0" xfId="2" applyNumberFormat="1" applyFont="1" applyAlignment="1">
      <alignment horizontal="right"/>
    </xf>
    <xf numFmtId="0" fontId="40" fillId="0" borderId="0" xfId="0" applyFont="1" applyProtection="1">
      <protection locked="0"/>
    </xf>
    <xf numFmtId="166" fontId="44" fillId="0" borderId="12" xfId="0" applyNumberFormat="1" applyFont="1" applyBorder="1"/>
    <xf numFmtId="0" fontId="10" fillId="0" borderId="0" xfId="0" applyFont="1"/>
    <xf numFmtId="169" fontId="37" fillId="0" borderId="0" xfId="0" applyNumberFormat="1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/>
    <xf numFmtId="172" fontId="40" fillId="0" borderId="0" xfId="4" applyNumberFormat="1" applyFont="1"/>
    <xf numFmtId="0" fontId="9" fillId="0" borderId="0" xfId="0" applyFont="1"/>
    <xf numFmtId="0" fontId="52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74" fontId="53" fillId="0" borderId="0" xfId="0" applyNumberFormat="1" applyFont="1" applyProtection="1">
      <protection locked="0"/>
    </xf>
    <xf numFmtId="174" fontId="37" fillId="0" borderId="0" xfId="0" applyNumberFormat="1" applyFont="1"/>
    <xf numFmtId="166" fontId="8" fillId="0" borderId="0" xfId="0" applyNumberFormat="1" applyFont="1"/>
    <xf numFmtId="2" fontId="13" fillId="0" borderId="0" xfId="0" applyNumberFormat="1" applyFont="1"/>
    <xf numFmtId="1" fontId="13" fillId="0" borderId="0" xfId="0" applyNumberFormat="1" applyFont="1"/>
    <xf numFmtId="167" fontId="8" fillId="0" borderId="0" xfId="0" applyNumberFormat="1" applyFont="1"/>
    <xf numFmtId="174" fontId="31" fillId="0" borderId="0" xfId="0" applyNumberFormat="1" applyFont="1"/>
    <xf numFmtId="0" fontId="53" fillId="0" borderId="0" xfId="0" applyFont="1"/>
    <xf numFmtId="169" fontId="8" fillId="0" borderId="0" xfId="0" applyNumberFormat="1" applyFont="1"/>
    <xf numFmtId="169" fontId="31" fillId="0" borderId="0" xfId="0" applyNumberFormat="1" applyFont="1"/>
    <xf numFmtId="0" fontId="52" fillId="0" borderId="0" xfId="0" applyFont="1" applyAlignment="1">
      <alignment horizontal="center"/>
    </xf>
    <xf numFmtId="0" fontId="53" fillId="0" borderId="0" xfId="0" applyFont="1" applyAlignment="1" applyProtection="1">
      <alignment horizontal="center"/>
      <protection locked="0"/>
    </xf>
    <xf numFmtId="166" fontId="53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Alignment="1">
      <alignment horizontal="center"/>
    </xf>
    <xf numFmtId="166" fontId="34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53" fillId="0" borderId="0" xfId="0" quotePrefix="1" applyFont="1" applyAlignment="1" applyProtection="1">
      <alignment horizontal="center"/>
      <protection locked="0"/>
    </xf>
    <xf numFmtId="167" fontId="37" fillId="0" borderId="0" xfId="0" applyNumberFormat="1" applyFont="1" applyAlignment="1">
      <alignment horizontal="center"/>
    </xf>
    <xf numFmtId="0" fontId="63" fillId="0" borderId="0" xfId="0" applyFont="1" applyProtection="1">
      <protection locked="0"/>
    </xf>
    <xf numFmtId="0" fontId="7" fillId="0" borderId="0" xfId="0" applyFont="1"/>
    <xf numFmtId="166" fontId="7" fillId="0" borderId="0" xfId="0" applyNumberFormat="1" applyFont="1"/>
    <xf numFmtId="0" fontId="6" fillId="0" borderId="0" xfId="0" applyFont="1"/>
    <xf numFmtId="1" fontId="53" fillId="0" borderId="8" xfId="0" applyNumberFormat="1" applyFont="1" applyBorder="1" applyProtection="1">
      <protection locked="0"/>
    </xf>
    <xf numFmtId="167" fontId="37" fillId="0" borderId="8" xfId="0" applyNumberFormat="1" applyFont="1" applyBorder="1"/>
    <xf numFmtId="166" fontId="15" fillId="0" borderId="0" xfId="0" applyNumberFormat="1" applyFont="1"/>
    <xf numFmtId="0" fontId="5" fillId="0" borderId="0" xfId="0" applyFont="1"/>
    <xf numFmtId="1" fontId="53" fillId="0" borderId="0" xfId="0" applyNumberFormat="1" applyFont="1" applyProtection="1">
      <protection locked="0"/>
    </xf>
    <xf numFmtId="0" fontId="4" fillId="0" borderId="0" xfId="0" applyFont="1"/>
    <xf numFmtId="0" fontId="57" fillId="0" borderId="8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7" fillId="0" borderId="8" xfId="0" applyFont="1" applyBorder="1"/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66" fontId="67" fillId="0" borderId="0" xfId="0" applyNumberFormat="1" applyFont="1"/>
    <xf numFmtId="166" fontId="66" fillId="0" borderId="0" xfId="0" applyNumberFormat="1" applyFont="1"/>
    <xf numFmtId="0" fontId="65" fillId="0" borderId="0" xfId="0" applyFont="1"/>
    <xf numFmtId="0" fontId="37" fillId="0" borderId="0" xfId="0" applyFont="1" applyAlignment="1">
      <alignment horizontal="center"/>
    </xf>
    <xf numFmtId="0" fontId="2" fillId="0" borderId="0" xfId="0" applyFont="1"/>
    <xf numFmtId="167" fontId="31" fillId="0" borderId="12" xfId="0" applyNumberFormat="1" applyFont="1" applyBorder="1"/>
    <xf numFmtId="167" fontId="37" fillId="0" borderId="0" xfId="0" applyNumberFormat="1" applyFont="1"/>
    <xf numFmtId="1" fontId="31" fillId="0" borderId="12" xfId="0" applyNumberFormat="1" applyFont="1" applyBorder="1"/>
    <xf numFmtId="1" fontId="53" fillId="0" borderId="1" xfId="0" applyNumberFormat="1" applyFont="1" applyBorder="1" applyProtection="1">
      <protection locked="0"/>
    </xf>
    <xf numFmtId="172" fontId="53" fillId="0" borderId="0" xfId="4" applyNumberFormat="1" applyFont="1" applyProtection="1">
      <protection locked="0"/>
    </xf>
    <xf numFmtId="2" fontId="31" fillId="0" borderId="0" xfId="0" applyNumberFormat="1" applyFont="1"/>
    <xf numFmtId="6" fontId="21" fillId="0" borderId="0" xfId="0" applyNumberFormat="1" applyFont="1"/>
    <xf numFmtId="0" fontId="1" fillId="0" borderId="0" xfId="0" applyFont="1"/>
    <xf numFmtId="0" fontId="53" fillId="0" borderId="5" xfId="0" applyFont="1" applyBorder="1" applyAlignment="1" applyProtection="1">
      <alignment horizontal="left"/>
      <protection locked="0"/>
    </xf>
    <xf numFmtId="0" fontId="53" fillId="0" borderId="6" xfId="0" applyFont="1" applyBorder="1" applyAlignment="1" applyProtection="1">
      <alignment horizontal="left"/>
      <protection locked="0"/>
    </xf>
    <xf numFmtId="0" fontId="53" fillId="0" borderId="8" xfId="0" applyFont="1" applyBorder="1" applyAlignment="1" applyProtection="1">
      <alignment horizontal="left"/>
      <protection locked="0"/>
    </xf>
    <xf numFmtId="0" fontId="53" fillId="0" borderId="7" xfId="0" applyFont="1" applyBorder="1" applyAlignment="1" applyProtection="1">
      <alignment horizontal="left"/>
      <protection locked="0"/>
    </xf>
    <xf numFmtId="0" fontId="53" fillId="0" borderId="12" xfId="0" applyFont="1" applyBorder="1" applyAlignment="1" applyProtection="1">
      <alignment horizontal="left"/>
      <protection locked="0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/>
    <xf numFmtId="0" fontId="0" fillId="0" borderId="0" xfId="0"/>
    <xf numFmtId="0" fontId="63" fillId="0" borderId="5" xfId="0" applyFont="1" applyBorder="1" applyProtection="1">
      <protection locked="0"/>
    </xf>
    <xf numFmtId="0" fontId="63" fillId="0" borderId="6" xfId="0" applyFont="1" applyBorder="1" applyProtection="1">
      <protection locked="0"/>
    </xf>
    <xf numFmtId="0" fontId="63" fillId="0" borderId="7" xfId="0" applyFont="1" applyBorder="1" applyProtection="1">
      <protection locked="0"/>
    </xf>
    <xf numFmtId="0" fontId="60" fillId="0" borderId="0" xfId="0" applyFont="1" applyAlignment="1">
      <alignment horizontal="center"/>
    </xf>
    <xf numFmtId="0" fontId="57" fillId="0" borderId="5" xfId="0" applyFont="1" applyBorder="1" applyProtection="1">
      <protection locked="0"/>
    </xf>
    <xf numFmtId="0" fontId="35" fillId="0" borderId="6" xfId="0" applyFont="1" applyBorder="1"/>
    <xf numFmtId="0" fontId="35" fillId="0" borderId="7" xfId="0" applyFont="1" applyBorder="1"/>
    <xf numFmtId="0" fontId="31" fillId="0" borderId="0" xfId="0" applyFont="1"/>
    <xf numFmtId="0" fontId="1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3" fillId="0" borderId="5" xfId="0" applyFont="1" applyBorder="1" applyProtection="1">
      <protection locked="0"/>
    </xf>
    <xf numFmtId="0" fontId="53" fillId="0" borderId="6" xfId="0" applyFont="1" applyBorder="1" applyProtection="1">
      <protection locked="0"/>
    </xf>
    <xf numFmtId="0" fontId="53" fillId="0" borderId="7" xfId="0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31" fillId="0" borderId="0" xfId="0" applyFont="1" applyAlignment="1" applyProtection="1">
      <alignment horizontal="right"/>
      <protection hidden="1"/>
    </xf>
    <xf numFmtId="0" fontId="27" fillId="0" borderId="0" xfId="0" applyFont="1"/>
    <xf numFmtId="0" fontId="29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31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Alignment="1">
      <alignment horizontal="left"/>
    </xf>
    <xf numFmtId="0" fontId="0" fillId="0" borderId="0" xfId="0" applyAlignment="1">
      <alignment horizontal="right"/>
    </xf>
    <xf numFmtId="8" fontId="37" fillId="0" borderId="0" xfId="0" applyNumberFormat="1" applyFont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51" fillId="0" borderId="0" xfId="3" applyFont="1" applyAlignment="1">
      <alignment horizontal="justify" vertical="center"/>
    </xf>
    <xf numFmtId="170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0" fontId="40" fillId="0" borderId="9" xfId="0" applyNumberFormat="1" applyFont="1" applyBorder="1" applyAlignment="1">
      <alignment horizontal="left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25400</xdr:colOff>
      <xdr:row>4</xdr:row>
      <xdr:rowOff>0</xdr:rowOff>
    </xdr:from>
    <xdr:ext cx="20503" cy="368922"/>
    <xdr:sp macro="" textlink="">
      <xdr:nvSpPr>
        <xdr:cNvPr id="2" name="AutoShape 92">
          <a:extLst>
            <a:ext uri="{FF2B5EF4-FFF2-40B4-BE49-F238E27FC236}">
              <a16:creationId xmlns:a16="http://schemas.microsoft.com/office/drawing/2014/main" id="{EE00C5E4-5DEF-49BD-BC67-63E1DD4CF7A9}"/>
            </a:ext>
          </a:extLst>
        </xdr:cNvPr>
        <xdr:cNvSpPr>
          <a:spLocks noChangeArrowheads="1"/>
        </xdr:cNvSpPr>
      </xdr:nvSpPr>
      <xdr:spPr bwMode="auto">
        <a:xfrm>
          <a:off x="9387114" y="1436914"/>
          <a:ext cx="20503" cy="368922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10</xdr:col>
      <xdr:colOff>16329</xdr:colOff>
      <xdr:row>1</xdr:row>
      <xdr:rowOff>185058</xdr:rowOff>
    </xdr:from>
    <xdr:to>
      <xdr:col>11</xdr:col>
      <xdr:colOff>566058</xdr:colOff>
      <xdr:row>4</xdr:row>
      <xdr:rowOff>117930</xdr:rowOff>
    </xdr:to>
    <xdr:pic>
      <xdr:nvPicPr>
        <xdr:cNvPr id="3" name="Picture 2" descr="TAMAgEXT">
          <a:extLst>
            <a:ext uri="{FF2B5EF4-FFF2-40B4-BE49-F238E27FC236}">
              <a16:creationId xmlns:a16="http://schemas.microsoft.com/office/drawing/2014/main" id="{445C920C-38F0-4D58-9D67-5961E975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129" y="381001"/>
          <a:ext cx="1202872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473075</xdr:colOff>
      <xdr:row>42</xdr:row>
      <xdr:rowOff>165100</xdr:rowOff>
    </xdr:from>
    <xdr:ext cx="18531" cy="170560"/>
    <xdr:sp macro="" textlink="">
      <xdr:nvSpPr>
        <xdr:cNvPr id="3" name="Text Box 8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7425" y="9855200"/>
          <a:ext cx="18531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4</xdr:row>
      <xdr:rowOff>19050</xdr:rowOff>
    </xdr:from>
    <xdr:to>
      <xdr:col>17</xdr:col>
      <xdr:colOff>177799</xdr:colOff>
      <xdr:row>5</xdr:row>
      <xdr:rowOff>38100</xdr:rowOff>
    </xdr:to>
    <xdr:sp macro="" textlink="">
      <xdr:nvSpPr>
        <xdr:cNvPr id="4" name="Text Box 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21300" y="692150"/>
          <a:ext cx="3225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38100</xdr:colOff>
      <xdr:row>4</xdr:row>
      <xdr:rowOff>57150</xdr:rowOff>
    </xdr:from>
    <xdr:to>
      <xdr:col>10</xdr:col>
      <xdr:colOff>133350</xdr:colOff>
      <xdr:row>5</xdr:row>
      <xdr:rowOff>82550</xdr:rowOff>
    </xdr:to>
    <xdr:sp macro="" textlink="">
      <xdr:nvSpPr>
        <xdr:cNvPr id="5" name="AutoShape 9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648200" y="730250"/>
          <a:ext cx="95250" cy="20955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355600</xdr:colOff>
      <xdr:row>3</xdr:row>
      <xdr:rowOff>209550</xdr:rowOff>
    </xdr:from>
    <xdr:to>
      <xdr:col>11</xdr:col>
      <xdr:colOff>444500</xdr:colOff>
      <xdr:row>5</xdr:row>
      <xdr:rowOff>12700</xdr:rowOff>
    </xdr:to>
    <xdr:sp macro="" textlink="">
      <xdr:nvSpPr>
        <xdr:cNvPr id="6" name="AutoShape 9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750300" y="768350"/>
          <a:ext cx="88900" cy="24765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768350</xdr:colOff>
      <xdr:row>10</xdr:row>
      <xdr:rowOff>95250</xdr:rowOff>
    </xdr:from>
    <xdr:to>
      <xdr:col>15</xdr:col>
      <xdr:colOff>82550</xdr:colOff>
      <xdr:row>11</xdr:row>
      <xdr:rowOff>101600</xdr:rowOff>
    </xdr:to>
    <xdr:sp macro="" textlink="">
      <xdr:nvSpPr>
        <xdr:cNvPr id="8" name="AutoShape 9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308850" y="2178050"/>
          <a:ext cx="82550" cy="2032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69"/>
  <sheetViews>
    <sheetView tabSelected="1" workbookViewId="0">
      <selection activeCell="H8" sqref="H8"/>
    </sheetView>
  </sheetViews>
  <sheetFormatPr defaultRowHeight="14.6" x14ac:dyDescent="0.4"/>
  <cols>
    <col min="1" max="1" width="1.53515625" customWidth="1"/>
    <col min="2" max="2" width="35.84375" customWidth="1"/>
    <col min="3" max="3" width="1.84375" customWidth="1"/>
    <col min="4" max="4" width="12.69140625" customWidth="1"/>
    <col min="5" max="5" width="1.3046875" customWidth="1"/>
    <col min="6" max="6" width="26" customWidth="1"/>
    <col min="7" max="7" width="1.3828125" customWidth="1"/>
    <col min="8" max="8" width="12.53515625" customWidth="1"/>
    <col min="9" max="9" width="15" customWidth="1"/>
  </cols>
  <sheetData>
    <row r="1" spans="2:13" ht="15.45" x14ac:dyDescent="0.4">
      <c r="B1" s="259" t="s">
        <v>344</v>
      </c>
      <c r="C1" s="260"/>
      <c r="D1" s="260"/>
      <c r="E1" s="260"/>
      <c r="F1" s="260"/>
      <c r="G1" s="260"/>
      <c r="H1" s="260"/>
      <c r="I1" s="260"/>
      <c r="J1" s="147"/>
      <c r="K1" s="147"/>
      <c r="L1" s="147"/>
      <c r="M1" s="147"/>
    </row>
    <row r="2" spans="2:13" ht="15.45" x14ac:dyDescent="0.4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15.45" x14ac:dyDescent="0.4">
      <c r="B3" s="40" t="s">
        <v>164</v>
      </c>
      <c r="C3" s="40"/>
      <c r="D3" s="40" t="s">
        <v>166</v>
      </c>
      <c r="E3" s="40"/>
      <c r="F3" s="40" t="s">
        <v>310</v>
      </c>
      <c r="G3" s="40"/>
      <c r="H3" s="40" t="s">
        <v>166</v>
      </c>
      <c r="I3" s="40" t="s">
        <v>304</v>
      </c>
      <c r="J3" s="147"/>
      <c r="K3" s="2"/>
      <c r="L3" s="2"/>
      <c r="M3" s="147"/>
    </row>
    <row r="4" spans="2:13" ht="15.45" x14ac:dyDescent="0.4">
      <c r="B4" s="40" t="s">
        <v>165</v>
      </c>
      <c r="C4" s="147"/>
      <c r="D4" s="147"/>
      <c r="E4" s="147"/>
      <c r="F4" s="147"/>
      <c r="G4" s="147"/>
      <c r="H4" s="147"/>
      <c r="I4" s="40" t="s">
        <v>166</v>
      </c>
      <c r="J4" s="147"/>
      <c r="K4" s="2"/>
      <c r="L4" s="2"/>
      <c r="M4" s="147"/>
    </row>
    <row r="5" spans="2:13" ht="15.45" x14ac:dyDescent="0.4">
      <c r="B5" s="148" t="s">
        <v>345</v>
      </c>
      <c r="C5" s="149"/>
      <c r="D5" s="150">
        <v>3.75</v>
      </c>
      <c r="E5" s="167"/>
      <c r="F5" s="148" t="s">
        <v>347</v>
      </c>
      <c r="G5" s="149"/>
      <c r="H5" s="150">
        <v>10.5</v>
      </c>
      <c r="I5" s="147"/>
      <c r="J5" s="147"/>
      <c r="K5" s="2"/>
      <c r="L5" s="2"/>
      <c r="M5" s="147"/>
    </row>
    <row r="6" spans="2:13" ht="15.45" x14ac:dyDescent="0.4">
      <c r="B6" s="148" t="s">
        <v>346</v>
      </c>
      <c r="C6" s="149"/>
      <c r="D6" s="150">
        <v>1.7</v>
      </c>
      <c r="E6" s="167"/>
      <c r="F6" s="148" t="s">
        <v>348</v>
      </c>
      <c r="G6" s="149"/>
      <c r="H6" s="150">
        <v>4.5</v>
      </c>
      <c r="I6" s="147"/>
      <c r="J6" s="147"/>
      <c r="K6" s="147"/>
      <c r="L6" s="147"/>
      <c r="M6" s="147"/>
    </row>
    <row r="7" spans="2:13" ht="15.45" x14ac:dyDescent="0.4">
      <c r="B7" s="148"/>
      <c r="C7" s="149"/>
      <c r="D7" s="150">
        <v>0</v>
      </c>
      <c r="E7" s="167"/>
      <c r="F7" s="148" t="s">
        <v>349</v>
      </c>
      <c r="G7" s="149"/>
      <c r="H7" s="150">
        <v>5</v>
      </c>
      <c r="I7" s="147"/>
      <c r="J7" s="147"/>
      <c r="K7" s="147"/>
      <c r="L7" s="147"/>
      <c r="M7" s="147"/>
    </row>
    <row r="8" spans="2:13" ht="15.45" x14ac:dyDescent="0.4">
      <c r="B8" s="148"/>
      <c r="C8" s="149"/>
      <c r="D8" s="150">
        <v>0</v>
      </c>
      <c r="E8" s="167"/>
      <c r="F8" s="148" t="s">
        <v>350</v>
      </c>
      <c r="G8" s="149"/>
      <c r="H8" s="150">
        <v>4.5</v>
      </c>
      <c r="I8" s="147"/>
      <c r="J8" s="147"/>
      <c r="K8" s="147"/>
      <c r="L8" s="147"/>
      <c r="M8" s="147"/>
    </row>
    <row r="9" spans="2:13" ht="15.45" x14ac:dyDescent="0.4">
      <c r="B9" s="148"/>
      <c r="C9" s="149"/>
      <c r="D9" s="150">
        <v>0</v>
      </c>
      <c r="E9" s="167"/>
      <c r="F9" s="148" t="s">
        <v>351</v>
      </c>
      <c r="G9" s="149"/>
      <c r="H9" s="150">
        <v>4</v>
      </c>
      <c r="I9" s="147"/>
      <c r="J9" s="147"/>
      <c r="K9" s="147"/>
      <c r="L9" s="147"/>
      <c r="M9" s="147"/>
    </row>
    <row r="10" spans="2:13" ht="15.45" x14ac:dyDescent="0.4">
      <c r="B10" s="148"/>
      <c r="C10" s="149"/>
      <c r="D10" s="150">
        <v>0</v>
      </c>
      <c r="E10" s="167"/>
      <c r="F10" s="235"/>
      <c r="G10" s="149"/>
      <c r="H10" s="150">
        <v>0</v>
      </c>
      <c r="I10" s="147"/>
      <c r="J10" s="147"/>
      <c r="K10" s="147"/>
      <c r="L10" s="147"/>
      <c r="M10" s="147"/>
    </row>
    <row r="11" spans="2:13" ht="15.45" x14ac:dyDescent="0.4">
      <c r="B11" s="148"/>
      <c r="C11" s="149"/>
      <c r="D11" s="150">
        <v>0</v>
      </c>
      <c r="E11" s="167"/>
      <c r="F11" s="235"/>
      <c r="G11" s="149"/>
      <c r="H11" s="150">
        <v>0</v>
      </c>
      <c r="I11" s="147"/>
      <c r="J11" s="147"/>
      <c r="K11" s="147"/>
      <c r="L11" s="147"/>
      <c r="M11" s="147"/>
    </row>
    <row r="12" spans="2:13" ht="15.45" x14ac:dyDescent="0.4">
      <c r="B12" s="151" t="s">
        <v>167</v>
      </c>
      <c r="C12" s="149"/>
      <c r="D12" s="121">
        <f>SUM(D5:D11)</f>
        <v>5.45</v>
      </c>
      <c r="E12" s="121"/>
      <c r="F12" s="149"/>
      <c r="G12" s="149"/>
      <c r="H12" s="121">
        <f>SUM(H5:H11)</f>
        <v>28.5</v>
      </c>
      <c r="I12" s="162">
        <f>D12+H12</f>
        <v>33.950000000000003</v>
      </c>
      <c r="J12" s="147"/>
      <c r="K12" s="147"/>
      <c r="L12" s="147"/>
      <c r="M12" s="147"/>
    </row>
    <row r="13" spans="2:13" ht="15.45" x14ac:dyDescent="0.4">
      <c r="B13" s="40" t="s">
        <v>168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2:13" ht="15.45" x14ac:dyDescent="0.4">
      <c r="B14" s="148" t="s">
        <v>345</v>
      </c>
      <c r="C14" s="149"/>
      <c r="D14" s="150">
        <v>3.75</v>
      </c>
      <c r="E14" s="167"/>
      <c r="F14" s="238" t="s">
        <v>169</v>
      </c>
      <c r="G14" s="149"/>
      <c r="H14" s="152">
        <f>'6. Benefit-Cost of BSE'!I19</f>
        <v>65</v>
      </c>
      <c r="I14" s="147"/>
      <c r="J14" s="226" t="s">
        <v>239</v>
      </c>
      <c r="K14" s="147"/>
      <c r="L14" s="147"/>
      <c r="M14" s="147"/>
    </row>
    <row r="15" spans="2:13" ht="15.45" x14ac:dyDescent="0.4">
      <c r="B15" s="148" t="s">
        <v>346</v>
      </c>
      <c r="C15" s="149"/>
      <c r="D15" s="150">
        <v>1.7</v>
      </c>
      <c r="E15" s="167"/>
      <c r="F15" s="148" t="s">
        <v>347</v>
      </c>
      <c r="G15" s="149"/>
      <c r="H15" s="150">
        <v>10.5</v>
      </c>
      <c r="I15" s="147"/>
      <c r="J15" s="147"/>
      <c r="K15" s="147"/>
      <c r="L15" s="147"/>
      <c r="M15" s="147"/>
    </row>
    <row r="16" spans="2:13" ht="15.45" x14ac:dyDescent="0.4">
      <c r="B16" s="148"/>
      <c r="C16" s="149"/>
      <c r="D16" s="150">
        <v>0</v>
      </c>
      <c r="E16" s="167"/>
      <c r="F16" s="148" t="s">
        <v>348</v>
      </c>
      <c r="G16" s="149"/>
      <c r="H16" s="150">
        <v>4.5</v>
      </c>
      <c r="I16" s="147"/>
      <c r="J16" s="147"/>
      <c r="K16" s="147"/>
      <c r="L16" s="147"/>
      <c r="M16" s="147"/>
    </row>
    <row r="17" spans="2:13" ht="15.45" x14ac:dyDescent="0.4">
      <c r="B17" s="148"/>
      <c r="C17" s="149"/>
      <c r="D17" s="150">
        <v>0</v>
      </c>
      <c r="E17" s="167"/>
      <c r="F17" s="148"/>
      <c r="G17" s="149"/>
      <c r="H17" s="150">
        <v>0</v>
      </c>
      <c r="I17" s="147"/>
      <c r="J17" s="147"/>
      <c r="K17" s="147"/>
      <c r="L17" s="147"/>
      <c r="M17" s="147"/>
    </row>
    <row r="18" spans="2:13" ht="15.45" x14ac:dyDescent="0.4">
      <c r="B18" s="148"/>
      <c r="C18" s="149"/>
      <c r="D18" s="150">
        <v>0</v>
      </c>
      <c r="E18" s="167"/>
      <c r="F18" s="148" t="s">
        <v>350</v>
      </c>
      <c r="G18" s="149"/>
      <c r="H18" s="150">
        <v>4.5</v>
      </c>
      <c r="I18" s="147"/>
      <c r="J18" s="147"/>
      <c r="K18" s="147"/>
      <c r="L18" s="147"/>
      <c r="M18" s="147"/>
    </row>
    <row r="19" spans="2:13" ht="15.45" x14ac:dyDescent="0.4">
      <c r="B19" s="148"/>
      <c r="C19" s="149"/>
      <c r="D19" s="150">
        <v>0</v>
      </c>
      <c r="E19" s="167"/>
      <c r="F19" s="148" t="s">
        <v>351</v>
      </c>
      <c r="G19" s="149"/>
      <c r="H19" s="150">
        <v>4</v>
      </c>
      <c r="I19" s="147"/>
      <c r="J19" s="147"/>
      <c r="K19" s="147"/>
      <c r="L19" s="147"/>
      <c r="M19" s="147"/>
    </row>
    <row r="20" spans="2:13" ht="15.45" x14ac:dyDescent="0.4">
      <c r="B20" s="148"/>
      <c r="C20" s="149"/>
      <c r="D20" s="150">
        <v>0</v>
      </c>
      <c r="E20" s="167"/>
      <c r="F20" s="148"/>
      <c r="G20" s="149"/>
      <c r="H20" s="150">
        <v>0</v>
      </c>
      <c r="I20" s="147"/>
      <c r="J20" s="147"/>
      <c r="K20" s="147"/>
      <c r="L20" s="147"/>
      <c r="M20" s="147"/>
    </row>
    <row r="21" spans="2:13" ht="15.45" x14ac:dyDescent="0.4">
      <c r="B21" s="151" t="s">
        <v>167</v>
      </c>
      <c r="C21" s="149"/>
      <c r="D21" s="121">
        <f>SUM(D14:D20)</f>
        <v>5.45</v>
      </c>
      <c r="E21" s="121"/>
      <c r="F21" s="149"/>
      <c r="G21" s="149"/>
      <c r="H21" s="121">
        <f>SUM(H14:H20)</f>
        <v>88.5</v>
      </c>
      <c r="I21" s="162">
        <f>D21+H21</f>
        <v>93.95</v>
      </c>
      <c r="J21" s="147"/>
      <c r="K21" s="147"/>
      <c r="L21" s="147"/>
      <c r="M21" s="147"/>
    </row>
    <row r="22" spans="2:13" ht="15.45" x14ac:dyDescent="0.4">
      <c r="B22" s="151"/>
      <c r="C22" s="149"/>
      <c r="D22" s="121"/>
      <c r="E22" s="121"/>
      <c r="F22" s="149"/>
      <c r="G22" s="149"/>
      <c r="H22" s="121"/>
      <c r="I22" s="147"/>
      <c r="J22" s="147"/>
      <c r="K22" s="147"/>
      <c r="L22" s="147"/>
      <c r="M22" s="147"/>
    </row>
    <row r="23" spans="2:13" ht="15.45" x14ac:dyDescent="0.4">
      <c r="B23" s="40" t="s">
        <v>319</v>
      </c>
      <c r="C23" s="237"/>
      <c r="D23" s="237"/>
      <c r="E23" s="237"/>
      <c r="F23" s="237"/>
      <c r="G23" s="237"/>
      <c r="H23" s="237"/>
      <c r="I23" s="147"/>
      <c r="J23" s="147"/>
      <c r="K23" s="147"/>
      <c r="L23" s="147"/>
      <c r="M23" s="147"/>
    </row>
    <row r="24" spans="2:13" ht="15.9" x14ac:dyDescent="0.45">
      <c r="B24" s="148" t="s">
        <v>352</v>
      </c>
      <c r="C24" s="156"/>
      <c r="D24" s="150">
        <v>2.75</v>
      </c>
      <c r="E24" s="167"/>
      <c r="F24" s="148" t="s">
        <v>320</v>
      </c>
      <c r="G24" s="149"/>
      <c r="H24" s="150">
        <v>2.75</v>
      </c>
      <c r="I24" s="147"/>
      <c r="J24" s="147"/>
      <c r="K24" s="147"/>
      <c r="L24" s="147"/>
      <c r="M24" s="147"/>
    </row>
    <row r="25" spans="2:13" ht="15.45" x14ac:dyDescent="0.4">
      <c r="B25" s="148" t="s">
        <v>353</v>
      </c>
      <c r="C25" s="149"/>
      <c r="D25" s="150">
        <v>1.7</v>
      </c>
      <c r="E25" s="167"/>
      <c r="F25" s="148" t="s">
        <v>320</v>
      </c>
      <c r="G25" s="149"/>
      <c r="H25" s="150">
        <v>1.7</v>
      </c>
      <c r="I25" s="147"/>
      <c r="J25" s="147"/>
      <c r="K25" s="147"/>
      <c r="L25" s="147"/>
      <c r="M25" s="147"/>
    </row>
    <row r="26" spans="2:13" ht="15.45" x14ac:dyDescent="0.4">
      <c r="B26" s="148"/>
      <c r="C26" s="149"/>
      <c r="D26" s="150">
        <v>0</v>
      </c>
      <c r="E26" s="167"/>
      <c r="F26" s="148" t="s">
        <v>343</v>
      </c>
      <c r="G26" s="149"/>
      <c r="H26" s="150">
        <v>4.8</v>
      </c>
      <c r="I26" s="147"/>
      <c r="J26" s="147"/>
      <c r="K26" s="147"/>
      <c r="L26" s="147"/>
      <c r="M26" s="147"/>
    </row>
    <row r="27" spans="2:13" ht="15.45" x14ac:dyDescent="0.4">
      <c r="B27" s="148"/>
      <c r="C27" s="149"/>
      <c r="D27" s="150">
        <v>0</v>
      </c>
      <c r="E27" s="167"/>
      <c r="F27" s="148" t="s">
        <v>340</v>
      </c>
      <c r="G27" s="149"/>
      <c r="H27" s="150">
        <v>2.75</v>
      </c>
      <c r="I27" s="147"/>
      <c r="J27" s="147"/>
      <c r="K27" s="147"/>
      <c r="L27" s="147"/>
      <c r="M27" s="147"/>
    </row>
    <row r="28" spans="2:13" ht="15.45" x14ac:dyDescent="0.4">
      <c r="B28" s="148"/>
      <c r="C28" s="149"/>
      <c r="D28" s="150">
        <v>0</v>
      </c>
      <c r="E28" s="167"/>
      <c r="F28" s="148" t="s">
        <v>341</v>
      </c>
      <c r="G28" s="149"/>
      <c r="H28" s="150">
        <v>2.5</v>
      </c>
      <c r="I28" s="147"/>
      <c r="J28" s="147"/>
      <c r="K28" s="147"/>
      <c r="L28" s="147"/>
      <c r="M28" s="147"/>
    </row>
    <row r="29" spans="2:13" ht="15.45" x14ac:dyDescent="0.4">
      <c r="B29" s="148"/>
      <c r="C29" s="149"/>
      <c r="D29" s="150">
        <v>0</v>
      </c>
      <c r="E29" s="167"/>
      <c r="F29" s="148"/>
      <c r="G29" s="149"/>
      <c r="H29" s="150">
        <v>0</v>
      </c>
      <c r="I29" s="147"/>
      <c r="J29" s="147"/>
      <c r="K29" s="147"/>
      <c r="L29" s="147"/>
      <c r="M29" s="147"/>
    </row>
    <row r="30" spans="2:13" ht="15.45" x14ac:dyDescent="0.4">
      <c r="B30" s="148"/>
      <c r="C30" s="149"/>
      <c r="D30" s="150">
        <v>0</v>
      </c>
      <c r="E30" s="167"/>
      <c r="F30" s="148"/>
      <c r="G30" s="149"/>
      <c r="H30" s="150">
        <v>0</v>
      </c>
      <c r="I30" s="147"/>
      <c r="J30" s="147"/>
      <c r="K30" s="147"/>
      <c r="L30" s="147"/>
      <c r="M30" s="147"/>
    </row>
    <row r="31" spans="2:13" ht="15.45" x14ac:dyDescent="0.4">
      <c r="B31" s="151" t="s">
        <v>167</v>
      </c>
      <c r="C31" s="149"/>
      <c r="D31" s="121">
        <f>SUM(D24:D30)</f>
        <v>4.45</v>
      </c>
      <c r="E31" s="121"/>
      <c r="F31" s="149"/>
      <c r="G31" s="149"/>
      <c r="H31" s="121">
        <f>SUM(H24:H30)</f>
        <v>14.5</v>
      </c>
      <c r="I31" s="162">
        <f>D31+H31</f>
        <v>18.95</v>
      </c>
      <c r="J31" s="147"/>
      <c r="K31" s="147"/>
      <c r="L31" s="147"/>
      <c r="M31" s="147"/>
    </row>
    <row r="32" spans="2:13" ht="15.45" x14ac:dyDescent="0.4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2:13" ht="15.45" x14ac:dyDescent="0.4">
      <c r="B33" s="40" t="s">
        <v>321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2:13" ht="15.45" x14ac:dyDescent="0.4">
      <c r="B34" s="148" t="s">
        <v>342</v>
      </c>
      <c r="C34" s="149"/>
      <c r="D34" s="150">
        <v>5.2</v>
      </c>
      <c r="E34" s="167"/>
      <c r="F34" s="148" t="s">
        <v>343</v>
      </c>
      <c r="G34" s="149"/>
      <c r="H34" s="150">
        <v>2</v>
      </c>
      <c r="I34" s="147"/>
      <c r="J34" s="147"/>
      <c r="K34" s="147"/>
      <c r="L34" s="147"/>
      <c r="M34" s="147"/>
    </row>
    <row r="35" spans="2:13" ht="15.45" x14ac:dyDescent="0.4">
      <c r="B35" s="148"/>
      <c r="C35" s="149"/>
      <c r="D35" s="150">
        <v>0</v>
      </c>
      <c r="E35" s="167"/>
      <c r="F35" s="148" t="s">
        <v>340</v>
      </c>
      <c r="G35" s="149"/>
      <c r="H35" s="150">
        <v>2.75</v>
      </c>
      <c r="I35" s="147"/>
      <c r="J35" s="147"/>
      <c r="K35" s="147"/>
      <c r="L35" s="147"/>
      <c r="M35" s="147"/>
    </row>
    <row r="36" spans="2:13" ht="15.45" x14ac:dyDescent="0.4">
      <c r="B36" s="148"/>
      <c r="C36" s="149"/>
      <c r="D36" s="150">
        <v>0</v>
      </c>
      <c r="E36" s="167"/>
      <c r="F36" s="148" t="s">
        <v>341</v>
      </c>
      <c r="G36" s="149"/>
      <c r="H36" s="150">
        <v>2.5</v>
      </c>
      <c r="I36" s="147"/>
      <c r="J36" s="147"/>
      <c r="K36" s="147"/>
      <c r="L36" s="147"/>
      <c r="M36" s="147"/>
    </row>
    <row r="37" spans="2:13" ht="15.45" x14ac:dyDescent="0.4">
      <c r="B37" s="148"/>
      <c r="C37" s="149"/>
      <c r="D37" s="150">
        <v>0</v>
      </c>
      <c r="E37" s="167"/>
      <c r="F37" s="235"/>
      <c r="G37" s="149"/>
      <c r="H37" s="150">
        <v>0</v>
      </c>
      <c r="I37" s="147"/>
      <c r="J37" s="147"/>
      <c r="K37" s="147"/>
      <c r="L37" s="147"/>
      <c r="M37" s="147"/>
    </row>
    <row r="38" spans="2:13" ht="15.45" x14ac:dyDescent="0.4">
      <c r="B38" s="148"/>
      <c r="C38" s="149"/>
      <c r="D38" s="150">
        <v>2.5</v>
      </c>
      <c r="E38" s="167"/>
      <c r="F38" s="235"/>
      <c r="G38" s="149"/>
      <c r="H38" s="150">
        <v>0</v>
      </c>
      <c r="I38" s="147"/>
      <c r="J38" s="147"/>
      <c r="K38" s="147"/>
      <c r="L38" s="147"/>
      <c r="M38" s="147"/>
    </row>
    <row r="39" spans="2:13" ht="15.45" x14ac:dyDescent="0.4">
      <c r="B39" s="148"/>
      <c r="C39" s="149"/>
      <c r="D39" s="150">
        <v>0</v>
      </c>
      <c r="E39" s="167"/>
      <c r="F39" s="235"/>
      <c r="G39" s="149"/>
      <c r="H39" s="150">
        <v>0</v>
      </c>
      <c r="I39" s="147"/>
      <c r="J39" s="147"/>
      <c r="K39" s="147"/>
      <c r="L39" s="147"/>
      <c r="M39" s="147"/>
    </row>
    <row r="40" spans="2:13" ht="15.45" x14ac:dyDescent="0.4">
      <c r="B40" s="148"/>
      <c r="C40" s="149"/>
      <c r="D40" s="150">
        <v>0</v>
      </c>
      <c r="E40" s="167"/>
      <c r="F40" s="235"/>
      <c r="G40" s="149"/>
      <c r="H40" s="150">
        <v>0</v>
      </c>
      <c r="I40" s="147"/>
      <c r="J40" s="147"/>
      <c r="K40" s="147"/>
      <c r="L40" s="147"/>
      <c r="M40" s="147"/>
    </row>
    <row r="41" spans="2:13" ht="15.45" x14ac:dyDescent="0.4">
      <c r="B41" s="151" t="s">
        <v>167</v>
      </c>
      <c r="C41" s="149"/>
      <c r="D41" s="121">
        <f>SUM(D34:D40)</f>
        <v>7.7</v>
      </c>
      <c r="E41" s="121"/>
      <c r="F41" s="149"/>
      <c r="G41" s="149"/>
      <c r="H41" s="121">
        <f>SUM(H34:H40)</f>
        <v>7.25</v>
      </c>
      <c r="I41" s="162">
        <f>D41+H41</f>
        <v>14.95</v>
      </c>
      <c r="J41" s="147"/>
      <c r="K41" s="147"/>
      <c r="L41" s="147"/>
      <c r="M41" s="147"/>
    </row>
    <row r="42" spans="2:13" ht="15.45" x14ac:dyDescent="0.4">
      <c r="L42" s="147"/>
      <c r="M42" s="147"/>
    </row>
    <row r="43" spans="2:13" ht="15.45" x14ac:dyDescent="0.4">
      <c r="B43" s="254" t="s">
        <v>354</v>
      </c>
      <c r="C43" s="255"/>
      <c r="D43" s="255"/>
      <c r="E43" s="256"/>
      <c r="F43" s="255"/>
      <c r="G43" s="255"/>
      <c r="H43" s="255"/>
      <c r="I43" s="257"/>
      <c r="J43" s="147"/>
      <c r="K43" s="147"/>
      <c r="L43" s="147"/>
      <c r="M43" s="147"/>
    </row>
    <row r="44" spans="2:13" ht="15.45" x14ac:dyDescent="0.4">
      <c r="B44" s="254" t="s">
        <v>355</v>
      </c>
      <c r="C44" s="255"/>
      <c r="D44" s="255"/>
      <c r="E44" s="258"/>
      <c r="F44" s="255"/>
      <c r="G44" s="255"/>
      <c r="H44" s="255"/>
      <c r="I44" s="257"/>
      <c r="J44" s="147"/>
      <c r="K44" s="147"/>
      <c r="L44" s="147"/>
      <c r="M44" s="147"/>
    </row>
    <row r="45" spans="2:13" ht="15.45" x14ac:dyDescent="0.4">
      <c r="B45" s="40" t="s">
        <v>322</v>
      </c>
      <c r="C45" s="147"/>
      <c r="D45" s="147"/>
      <c r="E45" s="147"/>
      <c r="F45" s="147"/>
      <c r="G45" s="147"/>
      <c r="H45" s="147"/>
      <c r="I45" s="105" t="s">
        <v>308</v>
      </c>
      <c r="J45" s="147"/>
      <c r="K45" s="234" t="s">
        <v>312</v>
      </c>
      <c r="L45" s="147"/>
      <c r="M45" s="147"/>
    </row>
    <row r="46" spans="2:13" ht="15.45" x14ac:dyDescent="0.4">
      <c r="B46" s="228"/>
      <c r="C46" s="147"/>
      <c r="D46" s="105"/>
      <c r="E46" s="105"/>
      <c r="F46" s="105"/>
      <c r="G46" s="105"/>
      <c r="H46" s="105"/>
      <c r="I46" s="105" t="s">
        <v>306</v>
      </c>
      <c r="J46" s="147"/>
      <c r="K46" s="147"/>
      <c r="L46" s="147"/>
      <c r="M46" s="147"/>
    </row>
    <row r="47" spans="2:13" ht="15.45" x14ac:dyDescent="0.4">
      <c r="B47" s="228"/>
      <c r="C47" s="147"/>
      <c r="D47" s="154" t="s">
        <v>336</v>
      </c>
      <c r="E47" s="105"/>
      <c r="F47" s="105" t="s">
        <v>287</v>
      </c>
      <c r="G47" s="105"/>
      <c r="H47" s="105" t="s">
        <v>313</v>
      </c>
      <c r="I47" s="105" t="s">
        <v>170</v>
      </c>
      <c r="J47" s="147"/>
      <c r="K47" s="147"/>
      <c r="L47" s="147"/>
      <c r="M47" s="147"/>
    </row>
    <row r="48" spans="2:13" ht="15.45" x14ac:dyDescent="0.4">
      <c r="B48" s="228" t="s">
        <v>219</v>
      </c>
      <c r="C48" s="147"/>
      <c r="D48" s="229">
        <v>100</v>
      </c>
      <c r="E48" s="233"/>
      <c r="F48" s="235"/>
      <c r="G48" s="147"/>
      <c r="H48" s="230">
        <f>I12</f>
        <v>33.950000000000003</v>
      </c>
      <c r="I48" s="231">
        <f>D48*H48</f>
        <v>3395.0000000000005</v>
      </c>
      <c r="J48" s="147"/>
      <c r="K48" s="147"/>
      <c r="L48" s="147"/>
      <c r="M48" s="147"/>
    </row>
    <row r="49" spans="2:13" ht="15.45" x14ac:dyDescent="0.4">
      <c r="B49" s="228" t="s">
        <v>305</v>
      </c>
      <c r="C49" s="147"/>
      <c r="D49" s="229">
        <v>4</v>
      </c>
      <c r="E49" s="233"/>
      <c r="F49" s="235"/>
      <c r="G49" s="147"/>
      <c r="H49" s="230">
        <f>I21</f>
        <v>93.95</v>
      </c>
      <c r="I49" s="231">
        <f t="shared" ref="I49:I53" si="0">D49*H49</f>
        <v>375.8</v>
      </c>
      <c r="J49" s="147"/>
      <c r="K49" s="147"/>
      <c r="L49" s="147"/>
      <c r="M49" s="147"/>
    </row>
    <row r="50" spans="2:13" ht="15.45" x14ac:dyDescent="0.4">
      <c r="B50" s="40" t="s">
        <v>357</v>
      </c>
      <c r="C50" s="147"/>
      <c r="D50" s="248">
        <f>D48+D49</f>
        <v>104</v>
      </c>
      <c r="E50" s="233"/>
      <c r="F50" s="235"/>
      <c r="G50" s="147"/>
      <c r="H50" s="246">
        <f>IF(D50=0,0,(I48+I49)/D50)</f>
        <v>36.257692307692317</v>
      </c>
      <c r="I50" s="231"/>
      <c r="J50" s="147"/>
      <c r="K50" s="147"/>
      <c r="L50" s="147"/>
      <c r="M50" s="147"/>
    </row>
    <row r="51" spans="2:13" ht="15.45" x14ac:dyDescent="0.4">
      <c r="B51" s="245"/>
      <c r="C51" s="147"/>
      <c r="D51" s="229"/>
      <c r="E51" s="233"/>
      <c r="F51" s="235"/>
      <c r="G51" s="147"/>
      <c r="H51" s="230"/>
      <c r="I51" s="231"/>
      <c r="J51" s="147"/>
      <c r="K51" s="147"/>
      <c r="L51" s="147"/>
      <c r="M51" s="147"/>
    </row>
    <row r="52" spans="2:13" ht="15.45" x14ac:dyDescent="0.4">
      <c r="B52" s="228" t="s">
        <v>307</v>
      </c>
      <c r="C52" s="147"/>
      <c r="D52" s="229">
        <v>88</v>
      </c>
      <c r="E52" s="233"/>
      <c r="F52" s="235"/>
      <c r="G52" s="147"/>
      <c r="H52" s="230">
        <f>I31</f>
        <v>18.95</v>
      </c>
      <c r="I52" s="231">
        <f t="shared" si="0"/>
        <v>1667.6</v>
      </c>
      <c r="J52" s="147"/>
      <c r="K52" s="147"/>
      <c r="L52" s="147"/>
      <c r="M52" s="147"/>
    </row>
    <row r="53" spans="2:13" ht="15.45" x14ac:dyDescent="0.4">
      <c r="B53" s="232" t="s">
        <v>311</v>
      </c>
      <c r="C53" s="147"/>
      <c r="D53" s="229">
        <v>88</v>
      </c>
      <c r="E53" s="233"/>
      <c r="F53" s="235" t="s">
        <v>314</v>
      </c>
      <c r="G53" s="147"/>
      <c r="H53" s="230">
        <f>I41</f>
        <v>14.95</v>
      </c>
      <c r="I53" s="231">
        <f t="shared" si="0"/>
        <v>1315.6</v>
      </c>
      <c r="J53" s="147"/>
      <c r="K53" s="147"/>
      <c r="L53" s="147"/>
      <c r="M53" s="147"/>
    </row>
    <row r="54" spans="2:13" ht="15.45" x14ac:dyDescent="0.4">
      <c r="B54" s="40" t="s">
        <v>358</v>
      </c>
      <c r="C54" s="147"/>
      <c r="D54" s="233"/>
      <c r="E54" s="233"/>
      <c r="F54" s="146"/>
      <c r="G54" s="147"/>
      <c r="H54" s="247"/>
      <c r="I54" s="231"/>
      <c r="J54" s="147"/>
      <c r="K54" s="147"/>
      <c r="L54" s="147"/>
      <c r="M54" s="147"/>
    </row>
    <row r="55" spans="2:13" ht="15.45" x14ac:dyDescent="0.4">
      <c r="B55" s="232"/>
      <c r="C55" s="147"/>
      <c r="D55" s="248">
        <f>D52</f>
        <v>88</v>
      </c>
      <c r="E55" s="233"/>
      <c r="F55" s="146"/>
      <c r="G55" s="147"/>
      <c r="H55" s="121">
        <f>IF(D55=0,0,((I52+I53)/D55))</f>
        <v>33.9</v>
      </c>
      <c r="I55" s="231"/>
      <c r="J55" s="147"/>
      <c r="K55" s="147"/>
      <c r="L55" s="147"/>
      <c r="M55" s="147"/>
    </row>
    <row r="56" spans="2:13" ht="15.45" x14ac:dyDescent="0.4">
      <c r="B56" s="40" t="s">
        <v>309</v>
      </c>
      <c r="C56" s="147"/>
      <c r="D56" s="147"/>
      <c r="E56" s="147"/>
      <c r="F56" s="147"/>
      <c r="G56" s="147"/>
      <c r="H56" s="147"/>
      <c r="I56" s="181">
        <f>SUM(I48:I53)</f>
        <v>6754</v>
      </c>
      <c r="J56" s="147"/>
      <c r="K56" s="147"/>
      <c r="L56" s="147"/>
      <c r="M56" s="147"/>
    </row>
    <row r="57" spans="2:13" ht="15.45" x14ac:dyDescent="0.4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2:13" ht="15.45" x14ac:dyDescent="0.4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2:13" ht="15.45" x14ac:dyDescent="0.4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2:13" ht="15.45" x14ac:dyDescent="0.4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2:13" ht="15.45" x14ac:dyDescent="0.4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2:13" ht="15.45" x14ac:dyDescent="0.4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2:13" ht="15.45" x14ac:dyDescent="0.4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2:13" ht="15.45" x14ac:dyDescent="0.4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2:13" ht="15.45" x14ac:dyDescent="0.4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2:13" ht="15.45" x14ac:dyDescent="0.4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2:13" ht="15.45" x14ac:dyDescent="0.4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2:13" ht="15.45" x14ac:dyDescent="0.4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2:13" ht="15.45" x14ac:dyDescent="0.4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</row>
  </sheetData>
  <sheetProtection sheet="1" objects="1" scenarios="1"/>
  <mergeCells count="3">
    <mergeCell ref="B43:I43"/>
    <mergeCell ref="B44:I44"/>
    <mergeCell ref="B1:I1"/>
  </mergeCells>
  <pageMargins left="0.95" right="0.45" top="0.75" bottom="0.75" header="0.3" footer="0.3"/>
  <pageSetup scale="79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28"/>
  <sheetViews>
    <sheetView topLeftCell="A7" workbookViewId="0">
      <selection activeCell="E17" sqref="E17"/>
    </sheetView>
  </sheetViews>
  <sheetFormatPr defaultRowHeight="14.6" x14ac:dyDescent="0.4"/>
  <cols>
    <col min="1" max="1" width="2.69140625" customWidth="1"/>
    <col min="2" max="2" width="18.84375" customWidth="1"/>
    <col min="3" max="3" width="15" customWidth="1"/>
    <col min="4" max="4" width="15.53515625" customWidth="1"/>
    <col min="5" max="5" width="13.84375" customWidth="1"/>
    <col min="6" max="6" width="12.53515625" customWidth="1"/>
    <col min="7" max="7" width="13.84375" customWidth="1"/>
    <col min="8" max="8" width="13.07421875" customWidth="1"/>
  </cols>
  <sheetData>
    <row r="1" spans="2:8" ht="18.45" x14ac:dyDescent="0.5">
      <c r="B1" s="261" t="s">
        <v>323</v>
      </c>
      <c r="C1" s="262"/>
      <c r="D1" s="262"/>
      <c r="E1" s="262"/>
      <c r="F1" s="262"/>
      <c r="G1" s="263"/>
      <c r="H1" s="264"/>
    </row>
    <row r="2" spans="2:8" ht="18.45" x14ac:dyDescent="0.5">
      <c r="B2" s="197"/>
      <c r="C2" s="199"/>
      <c r="D2" s="199"/>
      <c r="E2" s="199"/>
      <c r="F2" s="199"/>
      <c r="G2" s="200"/>
    </row>
    <row r="3" spans="2:8" ht="15.45" x14ac:dyDescent="0.4">
      <c r="B3" s="105"/>
      <c r="C3" s="105" t="s">
        <v>301</v>
      </c>
      <c r="D3" s="154" t="s">
        <v>226</v>
      </c>
      <c r="E3" s="154" t="s">
        <v>226</v>
      </c>
      <c r="F3" s="105" t="s">
        <v>261</v>
      </c>
      <c r="G3" s="239" t="s">
        <v>173</v>
      </c>
      <c r="H3" s="239" t="s">
        <v>178</v>
      </c>
    </row>
    <row r="4" spans="2:8" ht="15.45" x14ac:dyDescent="0.4">
      <c r="B4" s="94"/>
      <c r="C4" s="154" t="s">
        <v>179</v>
      </c>
      <c r="D4" s="154" t="s">
        <v>262</v>
      </c>
      <c r="E4" s="154" t="s">
        <v>298</v>
      </c>
      <c r="F4" s="105" t="s">
        <v>260</v>
      </c>
      <c r="G4" s="239" t="s">
        <v>260</v>
      </c>
      <c r="H4" s="240" t="s">
        <v>297</v>
      </c>
    </row>
    <row r="5" spans="2:8" ht="15.45" x14ac:dyDescent="0.4">
      <c r="B5" s="153" t="s">
        <v>229</v>
      </c>
      <c r="C5" s="154" t="s">
        <v>170</v>
      </c>
      <c r="D5" s="154" t="s">
        <v>263</v>
      </c>
      <c r="E5" s="154" t="s">
        <v>316</v>
      </c>
      <c r="F5" s="105" t="s">
        <v>317</v>
      </c>
      <c r="G5" s="239" t="s">
        <v>203</v>
      </c>
      <c r="H5" s="239" t="s">
        <v>203</v>
      </c>
    </row>
    <row r="6" spans="2:8" ht="15.45" x14ac:dyDescent="0.4">
      <c r="B6" s="226" t="s">
        <v>289</v>
      </c>
      <c r="C6" s="168">
        <v>5000</v>
      </c>
      <c r="D6" s="250">
        <v>1800</v>
      </c>
      <c r="E6" s="167">
        <v>70</v>
      </c>
      <c r="F6" s="180">
        <f>D6*E6*0.01</f>
        <v>1260</v>
      </c>
      <c r="G6" s="241">
        <f>C6-F6</f>
        <v>3740</v>
      </c>
      <c r="H6" s="242">
        <f>C6-G6</f>
        <v>1260</v>
      </c>
    </row>
    <row r="7" spans="2:8" ht="15.45" x14ac:dyDescent="0.4">
      <c r="B7" s="172" t="s">
        <v>177</v>
      </c>
      <c r="C7" s="168">
        <v>1650</v>
      </c>
      <c r="D7" s="250">
        <v>1200</v>
      </c>
      <c r="E7" s="167">
        <v>55</v>
      </c>
      <c r="F7" s="180">
        <f>D7*E7*0.01</f>
        <v>660</v>
      </c>
      <c r="G7" s="241">
        <f>C7-F7</f>
        <v>990</v>
      </c>
      <c r="H7" s="242">
        <f t="shared" ref="H7" si="0">C7-G7</f>
        <v>660</v>
      </c>
    </row>
    <row r="8" spans="2:8" ht="15.9" x14ac:dyDescent="0.45">
      <c r="B8" s="156"/>
      <c r="C8" s="156"/>
      <c r="D8" s="156"/>
      <c r="E8" s="156"/>
      <c r="F8" s="172"/>
      <c r="G8" s="94"/>
    </row>
    <row r="9" spans="2:8" ht="15.9" x14ac:dyDescent="0.45">
      <c r="B9" s="40" t="s">
        <v>318</v>
      </c>
      <c r="C9" s="156"/>
      <c r="D9" s="156"/>
      <c r="E9" s="156"/>
      <c r="F9" s="172"/>
    </row>
    <row r="10" spans="2:8" ht="15.9" x14ac:dyDescent="0.45">
      <c r="B10" s="172" t="s">
        <v>227</v>
      </c>
      <c r="C10" s="156"/>
      <c r="D10" s="250">
        <v>550</v>
      </c>
      <c r="E10" s="168">
        <v>180</v>
      </c>
      <c r="F10" s="180">
        <f>D10*E10*0.01</f>
        <v>990</v>
      </c>
    </row>
    <row r="11" spans="2:8" ht="15.9" x14ac:dyDescent="0.45">
      <c r="B11" s="172" t="s">
        <v>228</v>
      </c>
      <c r="C11" s="156"/>
      <c r="D11" s="250">
        <v>530</v>
      </c>
      <c r="E11" s="168">
        <v>165</v>
      </c>
      <c r="F11" s="180">
        <f>D11*E11*0.01</f>
        <v>874.5</v>
      </c>
    </row>
    <row r="12" spans="2:8" ht="15.9" x14ac:dyDescent="0.45">
      <c r="B12" s="40" t="s">
        <v>296</v>
      </c>
      <c r="C12" s="175"/>
      <c r="D12" s="176">
        <f>((D10+D11)*0.5)</f>
        <v>540</v>
      </c>
      <c r="E12" s="162">
        <f>((E10+E11)*0.5)</f>
        <v>172.5</v>
      </c>
      <c r="F12" s="162">
        <f>((F10+F11)*0.5)</f>
        <v>932.25</v>
      </c>
    </row>
    <row r="13" spans="2:8" ht="15.9" x14ac:dyDescent="0.45">
      <c r="B13" s="40" t="s">
        <v>302</v>
      </c>
      <c r="C13" s="175"/>
      <c r="D13" s="176"/>
      <c r="E13" s="162"/>
      <c r="F13" s="162"/>
    </row>
    <row r="14" spans="2:8" ht="15.9" x14ac:dyDescent="0.45">
      <c r="B14" s="203" t="s">
        <v>299</v>
      </c>
      <c r="C14" s="175"/>
      <c r="D14" s="176"/>
      <c r="E14" s="162"/>
      <c r="F14" s="162"/>
    </row>
    <row r="15" spans="2:8" ht="15.9" x14ac:dyDescent="0.45">
      <c r="B15" s="40" t="s">
        <v>300</v>
      </c>
      <c r="C15" s="175"/>
      <c r="D15" s="176"/>
      <c r="E15" s="162"/>
      <c r="F15" s="162"/>
    </row>
    <row r="16" spans="2:8" ht="15.9" x14ac:dyDescent="0.45">
      <c r="B16" s="40" t="s">
        <v>288</v>
      </c>
      <c r="C16" s="175"/>
      <c r="D16" s="176"/>
      <c r="E16" s="162"/>
      <c r="F16" s="162"/>
      <c r="G16" s="105" t="s">
        <v>211</v>
      </c>
    </row>
    <row r="17" spans="2:8" ht="15.9" x14ac:dyDescent="0.45">
      <c r="B17" s="40"/>
      <c r="C17" s="175"/>
      <c r="D17" s="176"/>
      <c r="E17" s="162"/>
      <c r="F17" s="162"/>
      <c r="G17" s="105" t="s">
        <v>291</v>
      </c>
    </row>
    <row r="18" spans="2:8" ht="15.9" x14ac:dyDescent="0.45">
      <c r="B18" s="40" t="s">
        <v>219</v>
      </c>
      <c r="C18" s="175"/>
      <c r="D18" s="250">
        <v>100</v>
      </c>
      <c r="E18" s="162"/>
      <c r="F18" s="162"/>
      <c r="G18" s="227">
        <f>D18*C7</f>
        <v>165000</v>
      </c>
    </row>
    <row r="19" spans="2:8" ht="15.9" x14ac:dyDescent="0.45">
      <c r="B19" s="40" t="s">
        <v>292</v>
      </c>
      <c r="C19" s="175"/>
      <c r="D19" s="250">
        <v>25</v>
      </c>
      <c r="E19" s="162"/>
      <c r="F19" s="162"/>
      <c r="G19" s="227"/>
    </row>
    <row r="20" spans="2:8" ht="15.9" x14ac:dyDescent="0.45">
      <c r="B20" s="40" t="s">
        <v>290</v>
      </c>
      <c r="C20" s="175"/>
      <c r="D20" s="176">
        <f>D18/D19</f>
        <v>4</v>
      </c>
      <c r="E20" s="162"/>
      <c r="F20" s="162"/>
      <c r="G20" s="227">
        <f>D20*C6</f>
        <v>20000</v>
      </c>
    </row>
    <row r="21" spans="2:8" ht="15.9" x14ac:dyDescent="0.45">
      <c r="B21" s="40" t="s">
        <v>295</v>
      </c>
      <c r="C21" s="175"/>
      <c r="D21" s="176"/>
      <c r="E21" s="162"/>
      <c r="F21" s="162"/>
      <c r="G21" s="181">
        <f>G18+G20</f>
        <v>185000</v>
      </c>
    </row>
    <row r="22" spans="2:8" ht="15.9" x14ac:dyDescent="0.45">
      <c r="B22" s="40"/>
      <c r="C22" s="175"/>
      <c r="D22" s="176"/>
      <c r="E22" s="162"/>
      <c r="F22" s="162"/>
      <c r="G22" s="181"/>
    </row>
    <row r="23" spans="2:8" ht="15.9" x14ac:dyDescent="0.45">
      <c r="B23" s="40"/>
      <c r="C23" s="175"/>
      <c r="D23" s="176"/>
      <c r="E23" s="162"/>
      <c r="F23" s="162"/>
      <c r="G23" s="181" t="s">
        <v>294</v>
      </c>
    </row>
    <row r="24" spans="2:8" ht="15.9" x14ac:dyDescent="0.45">
      <c r="B24" s="40" t="s">
        <v>293</v>
      </c>
      <c r="C24" s="175"/>
      <c r="D24" s="176"/>
      <c r="E24" s="162"/>
      <c r="F24" s="162"/>
      <c r="G24" s="181">
        <f>G21/D18</f>
        <v>1850</v>
      </c>
    </row>
    <row r="25" spans="2:8" ht="15.9" x14ac:dyDescent="0.45">
      <c r="B25" t="s">
        <v>230</v>
      </c>
      <c r="C25" s="156"/>
      <c r="D25" s="156"/>
      <c r="E25" s="156"/>
      <c r="F25" s="156"/>
    </row>
    <row r="26" spans="2:8" x14ac:dyDescent="0.4">
      <c r="B26" s="265" t="s">
        <v>287</v>
      </c>
      <c r="C26" s="266"/>
      <c r="D26" s="266"/>
      <c r="E26" s="266"/>
      <c r="F26" s="266"/>
      <c r="G26" s="266"/>
      <c r="H26" s="267"/>
    </row>
    <row r="27" spans="2:8" ht="15.9" x14ac:dyDescent="0.45">
      <c r="C27" s="156"/>
      <c r="D27" s="156"/>
      <c r="E27" s="156"/>
      <c r="F27" s="156"/>
    </row>
    <row r="28" spans="2:8" ht="15.9" x14ac:dyDescent="0.45">
      <c r="B28" s="94" t="s">
        <v>315</v>
      </c>
      <c r="C28" s="156"/>
      <c r="D28" s="156"/>
      <c r="E28" s="156"/>
      <c r="F28" s="156"/>
    </row>
  </sheetData>
  <sheetProtection sheet="1" objects="1" scenarios="1"/>
  <mergeCells count="2">
    <mergeCell ref="B1:H1"/>
    <mergeCell ref="B26:H26"/>
  </mergeCells>
  <pageMargins left="0.95" right="0.45" top="0.75" bottom="0.75" header="0.3" footer="0.3"/>
  <pageSetup scale="88" orientation="portrait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60"/>
  <sheetViews>
    <sheetView workbookViewId="0">
      <selection activeCell="D17" sqref="D17"/>
    </sheetView>
  </sheetViews>
  <sheetFormatPr defaultRowHeight="14.6" x14ac:dyDescent="0.4"/>
  <cols>
    <col min="1" max="1" width="3.3828125" customWidth="1"/>
    <col min="2" max="2" width="32.84375" customWidth="1"/>
    <col min="3" max="3" width="14.15234375" customWidth="1"/>
    <col min="4" max="4" width="13.3828125" customWidth="1"/>
    <col min="5" max="5" width="15" customWidth="1"/>
    <col min="6" max="6" width="14.3046875" customWidth="1"/>
    <col min="7" max="7" width="18.15234375" customWidth="1"/>
  </cols>
  <sheetData>
    <row r="1" spans="2:11" ht="18.45" x14ac:dyDescent="0.5">
      <c r="B1" s="261" t="s">
        <v>222</v>
      </c>
      <c r="C1" s="268"/>
      <c r="D1" s="268"/>
      <c r="E1" s="268"/>
      <c r="F1" s="268"/>
      <c r="G1" s="268"/>
    </row>
    <row r="2" spans="2:11" ht="18.45" x14ac:dyDescent="0.5">
      <c r="B2" s="197"/>
      <c r="C2" s="198"/>
      <c r="D2" s="198"/>
      <c r="E2" s="198"/>
      <c r="F2" s="198"/>
      <c r="G2" s="198"/>
    </row>
    <row r="3" spans="2:11" ht="15.45" x14ac:dyDescent="0.4">
      <c r="G3" s="205" t="s">
        <v>266</v>
      </c>
    </row>
    <row r="4" spans="2:11" ht="15.45" x14ac:dyDescent="0.4">
      <c r="B4" s="40" t="s">
        <v>219</v>
      </c>
      <c r="C4" s="135">
        <v>100</v>
      </c>
      <c r="D4" s="163"/>
      <c r="E4" s="163"/>
      <c r="F4" s="163"/>
      <c r="G4" s="169" t="s">
        <v>214</v>
      </c>
    </row>
    <row r="5" spans="2:11" ht="15.45" x14ac:dyDescent="0.4">
      <c r="C5" s="163"/>
      <c r="D5" s="163"/>
      <c r="E5" s="169" t="s">
        <v>209</v>
      </c>
      <c r="F5" s="163"/>
      <c r="G5" s="169" t="s">
        <v>215</v>
      </c>
    </row>
    <row r="6" spans="2:11" ht="15.45" x14ac:dyDescent="0.4">
      <c r="B6" s="163"/>
      <c r="C6" s="169" t="s">
        <v>224</v>
      </c>
      <c r="D6" s="244" t="s">
        <v>170</v>
      </c>
      <c r="E6" s="169" t="s">
        <v>216</v>
      </c>
      <c r="F6" s="169" t="s">
        <v>167</v>
      </c>
      <c r="G6" s="169" t="s">
        <v>223</v>
      </c>
      <c r="I6" s="236" t="s">
        <v>211</v>
      </c>
    </row>
    <row r="7" spans="2:11" ht="15.45" x14ac:dyDescent="0.4">
      <c r="B7" s="206" t="s">
        <v>207</v>
      </c>
      <c r="C7" s="205" t="s">
        <v>278</v>
      </c>
      <c r="D7" s="205" t="s">
        <v>279</v>
      </c>
      <c r="E7" s="205" t="s">
        <v>280</v>
      </c>
      <c r="F7" s="169" t="s">
        <v>210</v>
      </c>
      <c r="G7" s="205" t="s">
        <v>275</v>
      </c>
      <c r="I7" s="205" t="s">
        <v>267</v>
      </c>
    </row>
    <row r="8" spans="2:11" ht="15.45" x14ac:dyDescent="0.4">
      <c r="B8" s="149" t="s">
        <v>213</v>
      </c>
      <c r="C8" s="167">
        <v>6</v>
      </c>
      <c r="D8" s="167">
        <v>3</v>
      </c>
      <c r="E8" s="167">
        <v>0</v>
      </c>
      <c r="F8" s="224">
        <f>SUM(C8:E8)</f>
        <v>9</v>
      </c>
      <c r="G8" s="223" t="s">
        <v>233</v>
      </c>
      <c r="I8" s="209">
        <f>F8*$C$4</f>
        <v>900</v>
      </c>
    </row>
    <row r="9" spans="2:11" ht="15.45" x14ac:dyDescent="0.4">
      <c r="B9" s="149" t="s">
        <v>217</v>
      </c>
      <c r="C9" s="167">
        <v>5</v>
      </c>
      <c r="D9" s="167">
        <v>3</v>
      </c>
      <c r="E9" s="167">
        <v>0</v>
      </c>
      <c r="F9" s="224">
        <f>SUM(C9:E9)</f>
        <v>8</v>
      </c>
      <c r="G9" s="218" t="s">
        <v>234</v>
      </c>
      <c r="I9" s="209">
        <f t="shared" ref="I9:I10" si="0">F9*$C$4</f>
        <v>800</v>
      </c>
    </row>
    <row r="10" spans="2:11" ht="15.45" x14ac:dyDescent="0.4">
      <c r="B10" s="149" t="s">
        <v>235</v>
      </c>
      <c r="C10" s="167">
        <v>0</v>
      </c>
      <c r="D10" s="167">
        <v>3</v>
      </c>
      <c r="E10" s="167">
        <v>2.5</v>
      </c>
      <c r="F10" s="224">
        <f>SUM(C10:E10)</f>
        <v>5.5</v>
      </c>
      <c r="G10" s="218" t="s">
        <v>234</v>
      </c>
      <c r="I10" s="209">
        <f t="shared" si="0"/>
        <v>550</v>
      </c>
      <c r="K10" s="243" t="s">
        <v>356</v>
      </c>
    </row>
    <row r="11" spans="2:11" ht="15.45" x14ac:dyDescent="0.4">
      <c r="B11" s="149"/>
      <c r="C11" s="163"/>
      <c r="D11" s="163"/>
      <c r="E11" s="163"/>
      <c r="F11" s="163"/>
      <c r="G11" s="163"/>
      <c r="I11" s="94"/>
    </row>
    <row r="12" spans="2:11" ht="15.45" x14ac:dyDescent="0.4">
      <c r="B12" s="163"/>
      <c r="C12" s="236" t="s">
        <v>324</v>
      </c>
      <c r="D12" s="205" t="s">
        <v>199</v>
      </c>
      <c r="E12" s="169" t="s">
        <v>211</v>
      </c>
      <c r="F12" s="163"/>
      <c r="G12" s="163"/>
    </row>
    <row r="13" spans="2:11" ht="15.45" x14ac:dyDescent="0.4">
      <c r="B13" s="163"/>
      <c r="C13" s="205" t="s">
        <v>256</v>
      </c>
      <c r="D13" s="205" t="s">
        <v>274</v>
      </c>
      <c r="E13" s="171" t="s">
        <v>220</v>
      </c>
      <c r="F13" s="204" t="s">
        <v>232</v>
      </c>
      <c r="G13" s="163"/>
    </row>
    <row r="14" spans="2:11" ht="15.45" x14ac:dyDescent="0.4">
      <c r="B14" s="202" t="s">
        <v>240</v>
      </c>
      <c r="C14" s="204" t="s">
        <v>242</v>
      </c>
      <c r="D14" s="177" t="s">
        <v>208</v>
      </c>
      <c r="E14" s="169" t="s">
        <v>218</v>
      </c>
      <c r="F14" s="205" t="s">
        <v>281</v>
      </c>
      <c r="G14" s="163"/>
    </row>
    <row r="15" spans="2:11" ht="15.45" x14ac:dyDescent="0.4">
      <c r="B15" s="206" t="s">
        <v>258</v>
      </c>
      <c r="C15" s="196">
        <f>G33</f>
        <v>7.8246575342465752</v>
      </c>
      <c r="D15" s="168">
        <v>60</v>
      </c>
      <c r="E15" s="166">
        <f>C15*D15</f>
        <v>469.47945205479454</v>
      </c>
      <c r="F15" s="212">
        <f>E15/F33</f>
        <v>1.9726027397260275</v>
      </c>
      <c r="G15" s="163"/>
      <c r="H15" s="94" t="s">
        <v>329</v>
      </c>
    </row>
    <row r="16" spans="2:11" ht="15.45" x14ac:dyDescent="0.4">
      <c r="B16" s="206" t="s">
        <v>259</v>
      </c>
      <c r="C16" s="196">
        <f>G36</f>
        <v>1.4794520547945205</v>
      </c>
      <c r="D16" s="168">
        <v>40</v>
      </c>
      <c r="E16" s="166">
        <f>C16*D16</f>
        <v>59.178082191780817</v>
      </c>
      <c r="F16" s="212">
        <f>E16/F36</f>
        <v>1.3150684931506849</v>
      </c>
      <c r="G16" s="163"/>
      <c r="H16" s="94" t="s">
        <v>282</v>
      </c>
    </row>
    <row r="17" spans="2:9" ht="15.45" x14ac:dyDescent="0.4">
      <c r="B17" s="206"/>
      <c r="C17" s="196" t="s">
        <v>283</v>
      </c>
      <c r="D17" s="167"/>
      <c r="E17" s="236" t="s">
        <v>334</v>
      </c>
      <c r="F17" s="212"/>
      <c r="G17" s="163"/>
    </row>
    <row r="18" spans="2:9" ht="15.45" x14ac:dyDescent="0.4">
      <c r="B18" s="40" t="s">
        <v>330</v>
      </c>
      <c r="C18" s="216">
        <f>C15-C16</f>
        <v>6.3452054794520549</v>
      </c>
      <c r="D18" s="167"/>
      <c r="E18" s="181">
        <f>E15-E16</f>
        <v>410.30136986301375</v>
      </c>
      <c r="F18" s="212"/>
      <c r="G18" s="163"/>
    </row>
    <row r="19" spans="2:9" ht="15.45" x14ac:dyDescent="0.4">
      <c r="B19" s="203" t="s">
        <v>284</v>
      </c>
      <c r="C19" s="149"/>
      <c r="D19" s="168"/>
      <c r="E19" s="166"/>
      <c r="F19" s="170"/>
      <c r="G19" s="206"/>
    </row>
    <row r="20" spans="2:9" ht="15.45" x14ac:dyDescent="0.4">
      <c r="B20" s="203"/>
      <c r="C20" s="149"/>
      <c r="D20" s="168"/>
      <c r="E20" s="166"/>
      <c r="F20" s="170"/>
      <c r="G20" s="206"/>
    </row>
    <row r="21" spans="2:9" ht="15.45" x14ac:dyDescent="0.4">
      <c r="B21" s="217"/>
      <c r="C21" s="218"/>
      <c r="D21" s="219"/>
      <c r="E21" s="220"/>
      <c r="F21" s="171" t="s">
        <v>225</v>
      </c>
      <c r="G21" s="205" t="s">
        <v>267</v>
      </c>
    </row>
    <row r="22" spans="2:9" ht="15.45" x14ac:dyDescent="0.4">
      <c r="B22" s="236" t="s">
        <v>331</v>
      </c>
      <c r="C22" s="205" t="s">
        <v>268</v>
      </c>
      <c r="D22" s="219"/>
      <c r="E22" s="205" t="s">
        <v>277</v>
      </c>
      <c r="F22" s="169" t="s">
        <v>220</v>
      </c>
      <c r="G22" s="205" t="s">
        <v>264</v>
      </c>
      <c r="I22" s="206"/>
    </row>
    <row r="23" spans="2:9" ht="15.45" x14ac:dyDescent="0.4">
      <c r="B23" s="205" t="s">
        <v>270</v>
      </c>
      <c r="C23" s="205" t="s">
        <v>269</v>
      </c>
      <c r="D23" s="236" t="s">
        <v>332</v>
      </c>
      <c r="E23" s="169" t="s">
        <v>220</v>
      </c>
      <c r="F23" s="169" t="s">
        <v>203</v>
      </c>
      <c r="G23" s="205" t="s">
        <v>265</v>
      </c>
      <c r="H23" s="206"/>
      <c r="I23" s="206"/>
    </row>
    <row r="24" spans="2:9" ht="15.45" x14ac:dyDescent="0.4">
      <c r="B24" s="163" t="s">
        <v>212</v>
      </c>
      <c r="C24" s="149">
        <v>10</v>
      </c>
      <c r="D24" s="163">
        <f>C24*$C$4*0.01</f>
        <v>10</v>
      </c>
      <c r="E24" s="166">
        <f>C24*$E$18</f>
        <v>4103.0136986301377</v>
      </c>
      <c r="F24" s="165">
        <f>E24/$C$4</f>
        <v>41.030136986301379</v>
      </c>
      <c r="G24" s="205">
        <f>100-C24</f>
        <v>90</v>
      </c>
      <c r="I24" s="206"/>
    </row>
    <row r="25" spans="2:9" ht="15.45" x14ac:dyDescent="0.4">
      <c r="B25" s="163"/>
      <c r="C25" s="149">
        <v>12</v>
      </c>
      <c r="D25" s="163">
        <f t="shared" ref="D25:D26" si="1">C25*$C$4*0.01</f>
        <v>12</v>
      </c>
      <c r="E25" s="166">
        <f t="shared" ref="E25:E26" si="2">C25*$E$18</f>
        <v>4923.6164383561645</v>
      </c>
      <c r="F25" s="165">
        <f t="shared" ref="F25:F26" si="3">E25/$C$4</f>
        <v>49.236164383561643</v>
      </c>
      <c r="G25" s="205">
        <f>100-C25</f>
        <v>88</v>
      </c>
      <c r="I25" s="206"/>
    </row>
    <row r="26" spans="2:9" ht="15.45" x14ac:dyDescent="0.4">
      <c r="B26" s="163"/>
      <c r="C26" s="149">
        <v>14</v>
      </c>
      <c r="D26" s="163">
        <f t="shared" si="1"/>
        <v>14</v>
      </c>
      <c r="E26" s="166">
        <f t="shared" si="2"/>
        <v>5744.2191780821922</v>
      </c>
      <c r="F26" s="165">
        <f t="shared" si="3"/>
        <v>57.442191780821922</v>
      </c>
      <c r="G26" s="205">
        <f>100-C26</f>
        <v>86</v>
      </c>
      <c r="I26" s="206"/>
    </row>
    <row r="27" spans="2:9" ht="15.45" x14ac:dyDescent="0.4">
      <c r="B27" s="206" t="s">
        <v>271</v>
      </c>
      <c r="C27" s="149"/>
      <c r="D27" s="163"/>
      <c r="E27" s="166"/>
      <c r="F27" s="165"/>
      <c r="G27" s="163"/>
      <c r="H27" s="206"/>
      <c r="I27" s="206"/>
    </row>
    <row r="28" spans="2:9" ht="15.45" x14ac:dyDescent="0.4">
      <c r="B28" s="40" t="s">
        <v>325</v>
      </c>
      <c r="C28" s="151" t="s">
        <v>257</v>
      </c>
      <c r="D28" s="40"/>
      <c r="F28" s="221"/>
      <c r="G28" s="221"/>
    </row>
    <row r="29" spans="2:9" ht="15.45" x14ac:dyDescent="0.4">
      <c r="B29" s="206" t="s">
        <v>247</v>
      </c>
      <c r="C29" s="207">
        <v>43580</v>
      </c>
      <c r="D29" s="206" t="s">
        <v>251</v>
      </c>
    </row>
    <row r="30" spans="2:9" ht="15.45" x14ac:dyDescent="0.4">
      <c r="B30" s="206" t="s">
        <v>248</v>
      </c>
      <c r="C30" s="208">
        <f>C29+D30</f>
        <v>43640</v>
      </c>
      <c r="D30" s="214">
        <v>60</v>
      </c>
      <c r="F30" s="221" t="s">
        <v>252</v>
      </c>
      <c r="G30" s="221" t="s">
        <v>252</v>
      </c>
    </row>
    <row r="31" spans="2:9" ht="15.45" x14ac:dyDescent="0.4">
      <c r="B31" s="94" t="s">
        <v>285</v>
      </c>
      <c r="C31" s="208">
        <f>C30+D31</f>
        <v>43685</v>
      </c>
      <c r="D31" s="174">
        <v>45</v>
      </c>
      <c r="F31" s="222" t="s">
        <v>253</v>
      </c>
      <c r="G31" s="222" t="s">
        <v>253</v>
      </c>
    </row>
    <row r="32" spans="2:9" ht="15.45" x14ac:dyDescent="0.4">
      <c r="B32" s="94"/>
      <c r="C32" s="208"/>
      <c r="D32" s="174"/>
      <c r="F32" s="221" t="s">
        <v>254</v>
      </c>
      <c r="G32" s="221" t="s">
        <v>255</v>
      </c>
    </row>
    <row r="33" spans="2:7" ht="15.45" x14ac:dyDescent="0.4">
      <c r="B33" s="40" t="s">
        <v>326</v>
      </c>
      <c r="C33" s="208"/>
      <c r="D33" s="174"/>
      <c r="F33" s="211">
        <f>C41-C31</f>
        <v>238</v>
      </c>
      <c r="G33" s="215">
        <f>((F33/(365/12)))</f>
        <v>7.8246575342465752</v>
      </c>
    </row>
    <row r="34" spans="2:7" ht="15.45" x14ac:dyDescent="0.4">
      <c r="B34" s="206"/>
      <c r="C34" s="208"/>
      <c r="D34" s="174"/>
      <c r="F34" s="211"/>
      <c r="G34" s="215"/>
    </row>
    <row r="35" spans="2:7" ht="15.45" x14ac:dyDescent="0.4">
      <c r="B35" s="206"/>
      <c r="C35" s="208"/>
      <c r="D35" s="174"/>
      <c r="F35" s="221" t="s">
        <v>272</v>
      </c>
      <c r="G35" s="221" t="s">
        <v>273</v>
      </c>
    </row>
    <row r="36" spans="2:7" ht="15.45" x14ac:dyDescent="0.4">
      <c r="B36" s="40" t="s">
        <v>326</v>
      </c>
      <c r="C36" s="208"/>
      <c r="D36" s="174"/>
      <c r="F36" s="211">
        <f>D31</f>
        <v>45</v>
      </c>
      <c r="G36" s="215">
        <f>((F36/(365/12)))</f>
        <v>1.4794520547945205</v>
      </c>
    </row>
    <row r="37" spans="2:7" ht="15.45" x14ac:dyDescent="0.4">
      <c r="B37" s="237"/>
      <c r="C37" s="208"/>
      <c r="D37" s="174"/>
      <c r="F37" s="210"/>
      <c r="G37" s="215"/>
    </row>
    <row r="38" spans="2:7" ht="15.45" x14ac:dyDescent="0.4">
      <c r="B38" s="206"/>
      <c r="C38" s="208"/>
      <c r="D38" s="40" t="s">
        <v>251</v>
      </c>
      <c r="F38" s="211"/>
      <c r="G38" s="215"/>
    </row>
    <row r="39" spans="2:7" ht="15.45" x14ac:dyDescent="0.4">
      <c r="B39" s="40" t="s">
        <v>249</v>
      </c>
      <c r="C39" s="213">
        <f>C29+283</f>
        <v>43863</v>
      </c>
      <c r="D39" s="40">
        <f>C39-C29</f>
        <v>283</v>
      </c>
    </row>
    <row r="40" spans="2:7" ht="15.45" x14ac:dyDescent="0.4">
      <c r="B40" s="237" t="s">
        <v>327</v>
      </c>
      <c r="C40" s="213"/>
      <c r="D40" s="163">
        <f>D41-D39</f>
        <v>60</v>
      </c>
      <c r="F40" s="181"/>
    </row>
    <row r="41" spans="2:7" ht="15.45" x14ac:dyDescent="0.4">
      <c r="B41" s="40" t="s">
        <v>250</v>
      </c>
      <c r="C41" s="213">
        <f>C30+283</f>
        <v>43923</v>
      </c>
      <c r="D41" s="40">
        <f>C41-C29</f>
        <v>343</v>
      </c>
      <c r="E41" s="203" t="s">
        <v>328</v>
      </c>
    </row>
    <row r="42" spans="2:7" ht="15.45" x14ac:dyDescent="0.4">
      <c r="B42" s="163" t="s">
        <v>221</v>
      </c>
      <c r="C42" s="149"/>
      <c r="D42" s="163"/>
      <c r="E42" s="166"/>
      <c r="F42" s="165"/>
      <c r="G42" s="163"/>
    </row>
    <row r="43" spans="2:7" ht="15.45" x14ac:dyDescent="0.4">
      <c r="B43" s="94" t="s">
        <v>286</v>
      </c>
      <c r="C43" s="149"/>
      <c r="D43" s="163"/>
      <c r="E43" s="163"/>
      <c r="F43" s="163"/>
      <c r="G43" s="163"/>
    </row>
    <row r="44" spans="2:7" ht="15.45" x14ac:dyDescent="0.4">
      <c r="B44" s="94" t="s">
        <v>333</v>
      </c>
      <c r="C44" s="163"/>
      <c r="D44" s="163"/>
      <c r="E44" s="163"/>
      <c r="F44" s="163"/>
      <c r="G44" s="163"/>
    </row>
    <row r="45" spans="2:7" x14ac:dyDescent="0.4">
      <c r="B45" s="269" t="s">
        <v>287</v>
      </c>
      <c r="C45" s="270"/>
      <c r="D45" s="270"/>
      <c r="E45" s="270"/>
      <c r="F45" s="270"/>
      <c r="G45" s="271"/>
    </row>
    <row r="46" spans="2:7" x14ac:dyDescent="0.4">
      <c r="B46" s="225"/>
    </row>
    <row r="47" spans="2:7" x14ac:dyDescent="0.4">
      <c r="B47" s="193" t="s">
        <v>276</v>
      </c>
    </row>
    <row r="48" spans="2:7" x14ac:dyDescent="0.4">
      <c r="B48" s="193" t="s">
        <v>335</v>
      </c>
    </row>
    <row r="49" spans="2:6" x14ac:dyDescent="0.4">
      <c r="B49" s="94" t="s">
        <v>241</v>
      </c>
    </row>
    <row r="60" spans="2:6" ht="15.9" x14ac:dyDescent="0.45">
      <c r="B60" s="156"/>
      <c r="C60" s="156"/>
      <c r="D60" s="156"/>
      <c r="E60" s="156"/>
      <c r="F60" s="156"/>
    </row>
  </sheetData>
  <sheetProtection sheet="1" objects="1" scenarios="1"/>
  <mergeCells count="2">
    <mergeCell ref="B1:G1"/>
    <mergeCell ref="B45:G45"/>
  </mergeCells>
  <pageMargins left="0.95" right="0.45" top="0.75" bottom="0.75" header="0.3" footer="0.3"/>
  <pageSetup scale="83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7"/>
  <sheetViews>
    <sheetView topLeftCell="A3" zoomScaleNormal="100" workbookViewId="0">
      <selection activeCell="B2" sqref="B2:J2"/>
    </sheetView>
  </sheetViews>
  <sheetFormatPr defaultRowHeight="14.6" x14ac:dyDescent="0.4"/>
  <cols>
    <col min="1" max="1" width="4.3046875" customWidth="1"/>
    <col min="2" max="2" width="26.53515625" customWidth="1"/>
    <col min="4" max="4" width="3.84375" customWidth="1"/>
    <col min="5" max="5" width="12" customWidth="1"/>
    <col min="6" max="6" width="4.921875" customWidth="1"/>
    <col min="7" max="7" width="10" customWidth="1"/>
    <col min="8" max="9" width="10.84375" customWidth="1"/>
    <col min="10" max="10" width="12.69140625" customWidth="1"/>
  </cols>
  <sheetData>
    <row r="1" spans="1:13" ht="15.45" x14ac:dyDescent="0.4">
      <c r="A1" s="116"/>
      <c r="B1" s="116"/>
      <c r="C1" s="116"/>
      <c r="D1" s="116"/>
      <c r="E1" s="116"/>
      <c r="F1" s="116"/>
      <c r="G1" s="116"/>
      <c r="H1" s="116"/>
      <c r="I1" s="116"/>
    </row>
    <row r="2" spans="1:13" ht="15.45" x14ac:dyDescent="0.4">
      <c r="A2" s="116"/>
      <c r="B2" s="259" t="s">
        <v>151</v>
      </c>
      <c r="C2" s="260"/>
      <c r="D2" s="260"/>
      <c r="E2" s="260"/>
      <c r="F2" s="260"/>
      <c r="G2" s="260"/>
      <c r="H2" s="260"/>
      <c r="I2" s="260"/>
      <c r="J2" s="260"/>
    </row>
    <row r="3" spans="1:13" ht="15.45" x14ac:dyDescent="0.4">
      <c r="A3" s="116"/>
      <c r="B3" s="40"/>
      <c r="C3" s="116"/>
      <c r="D3" s="116"/>
      <c r="E3" s="116"/>
      <c r="F3" s="116"/>
      <c r="G3" s="116"/>
      <c r="I3" s="116"/>
    </row>
    <row r="4" spans="1:13" ht="15.45" x14ac:dyDescent="0.4">
      <c r="A4" s="116"/>
      <c r="B4" s="40"/>
      <c r="C4" s="116"/>
      <c r="D4" s="116"/>
      <c r="E4" s="116"/>
      <c r="F4" s="116"/>
      <c r="G4" s="40" t="s">
        <v>115</v>
      </c>
      <c r="I4" s="116"/>
    </row>
    <row r="5" spans="1:13" ht="15.45" x14ac:dyDescent="0.4">
      <c r="A5" s="116"/>
      <c r="B5" s="253" t="s">
        <v>359</v>
      </c>
      <c r="C5" s="105" t="s">
        <v>113</v>
      </c>
      <c r="D5" s="116"/>
      <c r="E5" s="251">
        <f>M6</f>
        <v>2.2439024390243905</v>
      </c>
      <c r="G5" s="249">
        <v>80</v>
      </c>
      <c r="H5" s="116"/>
      <c r="I5" s="133" t="s">
        <v>138</v>
      </c>
      <c r="J5" s="133" t="s">
        <v>139</v>
      </c>
      <c r="L5" s="172" t="s">
        <v>231</v>
      </c>
      <c r="M5" s="94" t="s">
        <v>113</v>
      </c>
    </row>
    <row r="6" spans="1:13" ht="15.45" x14ac:dyDescent="0.4">
      <c r="A6" s="116"/>
      <c r="B6" s="116"/>
      <c r="C6" s="116"/>
      <c r="D6" s="116"/>
      <c r="E6" s="131"/>
      <c r="F6" s="132"/>
      <c r="G6" s="131" t="s">
        <v>112</v>
      </c>
      <c r="H6" s="133" t="s">
        <v>137</v>
      </c>
      <c r="I6" s="133" t="s">
        <v>139</v>
      </c>
      <c r="J6" s="133" t="s">
        <v>140</v>
      </c>
      <c r="L6" s="185">
        <f>E15-G5</f>
        <v>460</v>
      </c>
      <c r="M6" s="116">
        <f>L6/C15</f>
        <v>2.2439024390243905</v>
      </c>
    </row>
    <row r="7" spans="1:13" ht="15.45" x14ac:dyDescent="0.4">
      <c r="A7" s="116"/>
      <c r="B7" s="117" t="s">
        <v>114</v>
      </c>
      <c r="C7" s="116"/>
      <c r="D7" s="116"/>
      <c r="E7" s="131" t="s">
        <v>112</v>
      </c>
      <c r="F7" s="131"/>
      <c r="G7" s="131" t="s">
        <v>116</v>
      </c>
      <c r="H7" s="133" t="s">
        <v>8</v>
      </c>
      <c r="I7" s="133" t="s">
        <v>10</v>
      </c>
      <c r="J7" s="105" t="s">
        <v>10</v>
      </c>
    </row>
    <row r="8" spans="1:13" ht="15.45" x14ac:dyDescent="0.4">
      <c r="A8" s="116"/>
      <c r="C8" s="40" t="s">
        <v>117</v>
      </c>
      <c r="D8" s="116"/>
      <c r="E8" s="40" t="s">
        <v>118</v>
      </c>
      <c r="G8" s="117"/>
      <c r="H8" s="116"/>
      <c r="I8" s="126"/>
      <c r="J8" s="126"/>
    </row>
    <row r="9" spans="1:13" ht="15.45" x14ac:dyDescent="0.4">
      <c r="A9" s="116"/>
      <c r="B9" s="117" t="s">
        <v>107</v>
      </c>
      <c r="C9" s="116">
        <v>21</v>
      </c>
      <c r="D9" s="116"/>
      <c r="E9" s="116">
        <f>C15</f>
        <v>205</v>
      </c>
      <c r="F9" s="116"/>
      <c r="G9" s="116">
        <f>$G$5+E9*$E$5</f>
        <v>540</v>
      </c>
      <c r="H9" s="184">
        <f>'2.Cattle Prices-Herd Investment'!E12</f>
        <v>172.5</v>
      </c>
      <c r="I9" s="129">
        <f>E24</f>
        <v>931.5</v>
      </c>
      <c r="J9" s="126"/>
      <c r="L9" s="94" t="s">
        <v>153</v>
      </c>
    </row>
    <row r="10" spans="1:13" ht="15.45" x14ac:dyDescent="0.4">
      <c r="A10" s="116"/>
      <c r="B10" s="117" t="s">
        <v>108</v>
      </c>
      <c r="C10" s="116">
        <v>42</v>
      </c>
      <c r="D10" s="116"/>
      <c r="E10" s="116">
        <f>E9-$C$9</f>
        <v>184</v>
      </c>
      <c r="F10" s="116"/>
      <c r="G10" s="185">
        <f>$G$5+E10*$E$5</f>
        <v>492.87804878048786</v>
      </c>
      <c r="H10" s="130">
        <f>E33</f>
        <v>176.26975609756096</v>
      </c>
      <c r="I10" s="129">
        <f>E34</f>
        <v>868.79493444378352</v>
      </c>
      <c r="J10" s="252">
        <f>E35</f>
        <v>-62.705065556216482</v>
      </c>
    </row>
    <row r="11" spans="1:13" ht="15.45" x14ac:dyDescent="0.4">
      <c r="A11" s="116"/>
      <c r="B11" s="40" t="s">
        <v>109</v>
      </c>
      <c r="C11" s="40">
        <v>63</v>
      </c>
      <c r="D11" s="116"/>
      <c r="E11" s="116">
        <f t="shared" ref="E11:E13" si="0">E10-$C$9</f>
        <v>163</v>
      </c>
      <c r="F11" s="116"/>
      <c r="G11" s="185">
        <f>$G$5+E11*$E$5</f>
        <v>445.75609756097566</v>
      </c>
      <c r="H11" s="130">
        <f>E53</f>
        <v>180.03951219512194</v>
      </c>
      <c r="I11" s="129">
        <f>E54</f>
        <v>802.53710362879247</v>
      </c>
      <c r="J11" s="252">
        <f>E55</f>
        <v>-128.96289637120753</v>
      </c>
    </row>
    <row r="12" spans="1:13" ht="15.45" x14ac:dyDescent="0.4">
      <c r="A12" s="116"/>
      <c r="B12" s="117" t="s">
        <v>110</v>
      </c>
      <c r="C12" s="116">
        <v>75</v>
      </c>
      <c r="D12" s="116"/>
      <c r="E12" s="116">
        <f t="shared" si="0"/>
        <v>142</v>
      </c>
      <c r="F12" s="116"/>
      <c r="G12" s="185">
        <f>$G$5+E12*$E$5</f>
        <v>398.63414634146346</v>
      </c>
      <c r="H12" s="130">
        <f>E73</f>
        <v>186.63658536585365</v>
      </c>
      <c r="I12" s="129">
        <f>E74</f>
        <v>743.99715883402746</v>
      </c>
      <c r="J12" s="252">
        <f>E75</f>
        <v>-187.50284116597254</v>
      </c>
    </row>
    <row r="13" spans="1:13" ht="15.45" x14ac:dyDescent="0.4">
      <c r="A13" s="116"/>
      <c r="B13" s="117" t="s">
        <v>111</v>
      </c>
      <c r="C13" s="116">
        <v>86</v>
      </c>
      <c r="D13" s="116"/>
      <c r="E13" s="116">
        <f t="shared" si="0"/>
        <v>121</v>
      </c>
      <c r="F13" s="116"/>
      <c r="G13" s="185">
        <f>$G$5+E13*$E$5</f>
        <v>351.51219512195127</v>
      </c>
      <c r="H13" s="130">
        <f>E93</f>
        <v>191.34878048780487</v>
      </c>
      <c r="I13" s="129">
        <f>E94</f>
        <v>672.61429863176693</v>
      </c>
      <c r="J13" s="252">
        <f>E95</f>
        <v>-258.88570136823307</v>
      </c>
    </row>
    <row r="14" spans="1:13" ht="15.45" x14ac:dyDescent="0.4">
      <c r="A14" s="116"/>
      <c r="B14" s="116"/>
      <c r="C14" s="116"/>
      <c r="D14" s="116"/>
      <c r="E14" s="116"/>
      <c r="F14" s="116"/>
      <c r="G14" s="116"/>
      <c r="H14" s="116"/>
      <c r="I14" s="116"/>
      <c r="J14" s="126"/>
    </row>
    <row r="15" spans="1:13" ht="15.45" x14ac:dyDescent="0.4">
      <c r="A15" s="116"/>
      <c r="B15" s="126" t="s">
        <v>143</v>
      </c>
      <c r="C15" s="135">
        <v>205</v>
      </c>
      <c r="D15" s="116"/>
      <c r="E15" s="116">
        <f>'2.Cattle Prices-Herd Investment'!D12</f>
        <v>540</v>
      </c>
      <c r="F15" s="116"/>
      <c r="G15" s="40" t="s">
        <v>150</v>
      </c>
      <c r="H15" s="116"/>
      <c r="I15" s="116"/>
      <c r="J15" s="136">
        <f>'6. Benefit-Cost of BSE'!I27</f>
        <v>2.6</v>
      </c>
    </row>
    <row r="16" spans="1:13" ht="15.45" x14ac:dyDescent="0.4">
      <c r="A16" s="116"/>
      <c r="B16" s="126" t="s">
        <v>142</v>
      </c>
      <c r="C16" s="118">
        <f>C15/(365/12)</f>
        <v>6.7397260273972597</v>
      </c>
      <c r="D16" s="116"/>
      <c r="E16" s="116"/>
      <c r="G16" s="153" t="s">
        <v>239</v>
      </c>
      <c r="H16" s="116"/>
      <c r="I16" s="116"/>
    </row>
    <row r="17" spans="1:9" ht="15.45" x14ac:dyDescent="0.4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5.45" x14ac:dyDescent="0.4">
      <c r="A18" s="116"/>
      <c r="B18" s="126" t="s">
        <v>144</v>
      </c>
      <c r="C18" s="116"/>
      <c r="D18" s="116"/>
      <c r="E18" s="116"/>
      <c r="F18" s="116"/>
      <c r="G18" s="116"/>
      <c r="H18" s="116"/>
      <c r="I18" s="116"/>
    </row>
    <row r="19" spans="1:9" ht="15.45" x14ac:dyDescent="0.4">
      <c r="A19" s="116"/>
      <c r="B19" s="272" t="s">
        <v>360</v>
      </c>
      <c r="C19" s="264"/>
      <c r="D19" s="264"/>
      <c r="E19" s="264"/>
      <c r="F19" s="264"/>
      <c r="G19" s="116"/>
      <c r="H19" s="116"/>
      <c r="I19" s="116"/>
    </row>
    <row r="20" spans="1:9" ht="15.45" x14ac:dyDescent="0.4">
      <c r="A20" s="116"/>
      <c r="B20" s="119" t="s">
        <v>119</v>
      </c>
      <c r="C20" s="119" t="s">
        <v>135</v>
      </c>
      <c r="E20" s="120">
        <f>$C$15</f>
        <v>205</v>
      </c>
      <c r="F20" s="116"/>
      <c r="G20" s="40" t="s">
        <v>147</v>
      </c>
      <c r="H20" s="116"/>
      <c r="I20" s="116"/>
    </row>
    <row r="21" spans="1:9" ht="15.45" x14ac:dyDescent="0.4">
      <c r="A21" s="116"/>
      <c r="B21" s="120" t="s">
        <v>120</v>
      </c>
      <c r="C21" s="119"/>
      <c r="E21" s="120"/>
      <c r="F21" s="116"/>
      <c r="G21" s="116"/>
      <c r="H21" s="116"/>
      <c r="I21" s="116"/>
    </row>
    <row r="22" spans="1:9" ht="15.45" x14ac:dyDescent="0.4">
      <c r="A22" s="116"/>
      <c r="B22" s="119" t="s">
        <v>121</v>
      </c>
      <c r="C22" s="119" t="s">
        <v>122</v>
      </c>
      <c r="E22" s="127">
        <f>$G$9</f>
        <v>540</v>
      </c>
      <c r="F22" s="116"/>
      <c r="G22" s="116"/>
      <c r="H22" s="116"/>
      <c r="I22" s="116"/>
    </row>
    <row r="23" spans="1:9" ht="15.45" x14ac:dyDescent="0.4">
      <c r="A23" s="116"/>
      <c r="B23" s="119" t="s">
        <v>141</v>
      </c>
      <c r="C23" s="119" t="s">
        <v>8</v>
      </c>
      <c r="E23" s="121">
        <f>$H$9</f>
        <v>172.5</v>
      </c>
      <c r="F23" s="116"/>
      <c r="G23" s="116"/>
      <c r="H23" s="116"/>
      <c r="I23" s="116"/>
    </row>
    <row r="24" spans="1:9" ht="15.45" x14ac:dyDescent="0.4">
      <c r="A24" s="116"/>
      <c r="B24" s="120" t="s">
        <v>123</v>
      </c>
      <c r="C24" s="120" t="s">
        <v>10</v>
      </c>
      <c r="E24" s="121">
        <f>E22*E23*0.01</f>
        <v>931.5</v>
      </c>
      <c r="F24" s="116"/>
      <c r="G24" s="116"/>
      <c r="H24" s="116"/>
      <c r="I24" s="116"/>
    </row>
    <row r="25" spans="1:9" ht="15.45" x14ac:dyDescent="0.4">
      <c r="A25" s="116"/>
      <c r="B25" s="122" t="s">
        <v>124</v>
      </c>
      <c r="C25" s="119"/>
      <c r="E25" s="123"/>
      <c r="F25" s="116"/>
      <c r="G25" s="116"/>
      <c r="H25" s="116"/>
      <c r="I25" s="116"/>
    </row>
    <row r="26" spans="1:9" ht="15.45" x14ac:dyDescent="0.4">
      <c r="A26" s="116"/>
      <c r="B26" s="120" t="s">
        <v>125</v>
      </c>
      <c r="C26" s="119"/>
      <c r="E26" s="119"/>
      <c r="F26" s="116"/>
      <c r="G26" s="40" t="s">
        <v>146</v>
      </c>
      <c r="H26" s="116"/>
      <c r="I26" s="116"/>
    </row>
    <row r="27" spans="1:9" ht="15.45" x14ac:dyDescent="0.4">
      <c r="A27" s="116"/>
      <c r="B27" s="120" t="s">
        <v>136</v>
      </c>
      <c r="C27" s="120" t="s">
        <v>135</v>
      </c>
      <c r="E27" s="120">
        <f>$E$10</f>
        <v>184</v>
      </c>
      <c r="F27" s="116"/>
      <c r="G27" s="116"/>
      <c r="H27" s="116"/>
      <c r="I27" s="116"/>
    </row>
    <row r="28" spans="1:9" ht="15.45" x14ac:dyDescent="0.4">
      <c r="B28" s="119" t="s">
        <v>126</v>
      </c>
      <c r="C28" s="119" t="s">
        <v>122</v>
      </c>
      <c r="E28" s="128">
        <f>$G$10</f>
        <v>492.87804878048786</v>
      </c>
    </row>
    <row r="29" spans="1:9" ht="15.45" x14ac:dyDescent="0.4">
      <c r="B29" s="119" t="s">
        <v>127</v>
      </c>
      <c r="C29" s="119" t="s">
        <v>122</v>
      </c>
      <c r="E29" s="196">
        <f>E28-E22</f>
        <v>-47.121951219512141</v>
      </c>
    </row>
    <row r="30" spans="1:9" ht="15.45" x14ac:dyDescent="0.4">
      <c r="B30" s="119" t="s">
        <v>128</v>
      </c>
      <c r="C30" s="119" t="s">
        <v>129</v>
      </c>
      <c r="E30" s="134">
        <v>0.08</v>
      </c>
    </row>
    <row r="31" spans="1:9" ht="15.45" x14ac:dyDescent="0.4">
      <c r="B31" s="119" t="s">
        <v>130</v>
      </c>
      <c r="C31" s="119" t="s">
        <v>8</v>
      </c>
      <c r="E31" s="124">
        <f>E30*E29*-1</f>
        <v>3.7697560975609714</v>
      </c>
    </row>
    <row r="32" spans="1:9" ht="15.45" x14ac:dyDescent="0.4">
      <c r="B32" s="119"/>
      <c r="C32" s="119"/>
      <c r="E32" s="124"/>
    </row>
    <row r="33" spans="2:7" ht="15.45" x14ac:dyDescent="0.4">
      <c r="B33" s="120" t="s">
        <v>131</v>
      </c>
      <c r="C33" s="120" t="s">
        <v>8</v>
      </c>
      <c r="E33" s="121">
        <f>(E23+E31)</f>
        <v>176.26975609756096</v>
      </c>
    </row>
    <row r="34" spans="2:7" ht="15.45" x14ac:dyDescent="0.4">
      <c r="B34" s="120" t="s">
        <v>123</v>
      </c>
      <c r="C34" s="120"/>
      <c r="E34" s="121">
        <f>((E33*0.01)*(E28))</f>
        <v>868.79493444378352</v>
      </c>
    </row>
    <row r="35" spans="2:7" ht="15.45" x14ac:dyDescent="0.4">
      <c r="B35" s="120" t="s">
        <v>132</v>
      </c>
      <c r="C35" s="120" t="s">
        <v>10</v>
      </c>
      <c r="E35" s="125">
        <f>E34-E24</f>
        <v>-62.705065556216482</v>
      </c>
    </row>
    <row r="36" spans="2:7" ht="15.45" x14ac:dyDescent="0.4">
      <c r="B36" s="120" t="s">
        <v>133</v>
      </c>
    </row>
    <row r="37" spans="2:7" x14ac:dyDescent="0.4">
      <c r="B37" s="122" t="s">
        <v>134</v>
      </c>
    </row>
    <row r="39" spans="2:7" ht="15.45" x14ac:dyDescent="0.4">
      <c r="B39" s="272" t="s">
        <v>360</v>
      </c>
      <c r="C39" s="264"/>
      <c r="D39" s="264"/>
      <c r="E39" s="264"/>
      <c r="F39" s="264"/>
    </row>
    <row r="40" spans="2:7" ht="15.45" x14ac:dyDescent="0.4">
      <c r="B40" s="119" t="s">
        <v>119</v>
      </c>
      <c r="C40" s="119" t="s">
        <v>135</v>
      </c>
      <c r="E40" s="119">
        <f>$E$20</f>
        <v>205</v>
      </c>
      <c r="F40" s="116"/>
      <c r="G40" s="40" t="s">
        <v>147</v>
      </c>
    </row>
    <row r="41" spans="2:7" ht="15.45" x14ac:dyDescent="0.4">
      <c r="B41" s="120" t="s">
        <v>120</v>
      </c>
      <c r="C41" s="119"/>
      <c r="E41" s="120"/>
      <c r="F41" s="116"/>
    </row>
    <row r="42" spans="2:7" ht="15.45" x14ac:dyDescent="0.4">
      <c r="B42" s="119" t="s">
        <v>121</v>
      </c>
      <c r="C42" s="119" t="s">
        <v>122</v>
      </c>
      <c r="E42" s="127">
        <f>E22</f>
        <v>540</v>
      </c>
      <c r="F42" s="116"/>
    </row>
    <row r="43" spans="2:7" ht="15.45" x14ac:dyDescent="0.4">
      <c r="B43" s="119" t="s">
        <v>141</v>
      </c>
      <c r="C43" s="119" t="s">
        <v>8</v>
      </c>
      <c r="E43" s="121">
        <f>E23</f>
        <v>172.5</v>
      </c>
      <c r="F43" s="116"/>
    </row>
    <row r="44" spans="2:7" ht="15.45" x14ac:dyDescent="0.4">
      <c r="B44" s="120" t="s">
        <v>123</v>
      </c>
      <c r="C44" s="120" t="s">
        <v>10</v>
      </c>
      <c r="E44" s="121">
        <f>E42*E43*0.01</f>
        <v>931.5</v>
      </c>
      <c r="F44" s="116"/>
    </row>
    <row r="45" spans="2:7" ht="15.45" x14ac:dyDescent="0.4">
      <c r="B45" s="122" t="s">
        <v>124</v>
      </c>
      <c r="C45" s="119"/>
      <c r="E45" s="123"/>
      <c r="F45" s="116"/>
    </row>
    <row r="46" spans="2:7" ht="15.45" x14ac:dyDescent="0.4">
      <c r="B46" s="120" t="s">
        <v>125</v>
      </c>
      <c r="C46" s="119"/>
      <c r="E46" s="119"/>
      <c r="F46" s="116"/>
    </row>
    <row r="47" spans="2:7" ht="15.45" x14ac:dyDescent="0.4">
      <c r="B47" s="120" t="s">
        <v>136</v>
      </c>
      <c r="C47" s="120" t="s">
        <v>135</v>
      </c>
      <c r="E47" s="120">
        <f>E11</f>
        <v>163</v>
      </c>
      <c r="F47" s="116"/>
      <c r="G47" s="40" t="s">
        <v>145</v>
      </c>
    </row>
    <row r="48" spans="2:7" ht="15.45" x14ac:dyDescent="0.4">
      <c r="B48" s="119" t="s">
        <v>126</v>
      </c>
      <c r="C48" s="119" t="s">
        <v>122</v>
      </c>
      <c r="E48" s="128">
        <f>G11</f>
        <v>445.75609756097566</v>
      </c>
    </row>
    <row r="49" spans="2:9" ht="15.45" x14ac:dyDescent="0.4">
      <c r="B49" s="119" t="s">
        <v>127</v>
      </c>
      <c r="C49" s="119" t="s">
        <v>122</v>
      </c>
      <c r="E49" s="196">
        <f>E48-E42</f>
        <v>-94.243902439024339</v>
      </c>
    </row>
    <row r="50" spans="2:9" ht="15.45" x14ac:dyDescent="0.4">
      <c r="B50" s="119" t="s">
        <v>128</v>
      </c>
      <c r="C50" s="119" t="s">
        <v>129</v>
      </c>
      <c r="E50" s="134">
        <v>0.08</v>
      </c>
    </row>
    <row r="51" spans="2:9" ht="15.45" x14ac:dyDescent="0.4">
      <c r="B51" s="119" t="s">
        <v>130</v>
      </c>
      <c r="C51" s="119" t="s">
        <v>8</v>
      </c>
      <c r="E51" s="124">
        <f>E50*E49*-1</f>
        <v>7.5395121951219473</v>
      </c>
    </row>
    <row r="52" spans="2:9" ht="15.45" x14ac:dyDescent="0.4">
      <c r="B52" s="119"/>
      <c r="C52" s="119"/>
      <c r="E52" s="124"/>
    </row>
    <row r="53" spans="2:9" ht="15.45" x14ac:dyDescent="0.4">
      <c r="B53" s="120" t="s">
        <v>131</v>
      </c>
      <c r="C53" s="120" t="s">
        <v>8</v>
      </c>
      <c r="E53" s="121">
        <f>(E43+E51)</f>
        <v>180.03951219512194</v>
      </c>
    </row>
    <row r="54" spans="2:9" ht="15.45" x14ac:dyDescent="0.4">
      <c r="B54" s="120" t="s">
        <v>123</v>
      </c>
      <c r="C54" s="120"/>
      <c r="E54" s="121">
        <f>((E53*0.01)*(E48))</f>
        <v>802.53710362879247</v>
      </c>
    </row>
    <row r="55" spans="2:9" ht="15.45" x14ac:dyDescent="0.4">
      <c r="B55" s="120" t="s">
        <v>132</v>
      </c>
      <c r="C55" s="120" t="s">
        <v>10</v>
      </c>
      <c r="E55" s="125">
        <f>E54-E44</f>
        <v>-128.96289637120753</v>
      </c>
    </row>
    <row r="56" spans="2:9" ht="15.45" x14ac:dyDescent="0.4">
      <c r="B56" s="120" t="s">
        <v>133</v>
      </c>
    </row>
    <row r="57" spans="2:9" x14ac:dyDescent="0.4">
      <c r="B57" s="122" t="s">
        <v>134</v>
      </c>
    </row>
    <row r="59" spans="2:9" ht="15.45" x14ac:dyDescent="0.4">
      <c r="B59" s="272" t="s">
        <v>360</v>
      </c>
      <c r="C59" s="264"/>
      <c r="D59" s="264"/>
      <c r="E59" s="264"/>
      <c r="F59" s="264"/>
      <c r="G59" s="116"/>
      <c r="H59" s="116"/>
      <c r="I59" s="116"/>
    </row>
    <row r="60" spans="2:9" ht="15.45" x14ac:dyDescent="0.4">
      <c r="B60" s="119" t="s">
        <v>119</v>
      </c>
      <c r="C60" s="119" t="s">
        <v>135</v>
      </c>
      <c r="E60" s="120">
        <f>$C$15</f>
        <v>205</v>
      </c>
      <c r="F60" s="116"/>
      <c r="G60" s="40" t="s">
        <v>147</v>
      </c>
      <c r="H60" s="116"/>
      <c r="I60" s="116"/>
    </row>
    <row r="61" spans="2:9" ht="15.45" x14ac:dyDescent="0.4">
      <c r="B61" s="120" t="s">
        <v>120</v>
      </c>
      <c r="C61" s="119"/>
      <c r="E61" s="120"/>
      <c r="F61" s="116"/>
      <c r="G61" s="116"/>
      <c r="H61" s="116"/>
      <c r="I61" s="116"/>
    </row>
    <row r="62" spans="2:9" ht="15.45" x14ac:dyDescent="0.4">
      <c r="B62" s="119" t="s">
        <v>121</v>
      </c>
      <c r="C62" s="119" t="s">
        <v>122</v>
      </c>
      <c r="E62" s="127">
        <f>$G$9</f>
        <v>540</v>
      </c>
      <c r="F62" s="116"/>
      <c r="G62" s="116"/>
      <c r="H62" s="116"/>
      <c r="I62" s="116"/>
    </row>
    <row r="63" spans="2:9" ht="15.45" x14ac:dyDescent="0.4">
      <c r="B63" s="119" t="s">
        <v>141</v>
      </c>
      <c r="C63" s="119" t="s">
        <v>8</v>
      </c>
      <c r="E63" s="121">
        <f>$H$9</f>
        <v>172.5</v>
      </c>
      <c r="F63" s="116"/>
      <c r="G63" s="116"/>
      <c r="H63" s="116"/>
      <c r="I63" s="116"/>
    </row>
    <row r="64" spans="2:9" ht="15.45" x14ac:dyDescent="0.4">
      <c r="B64" s="120" t="s">
        <v>123</v>
      </c>
      <c r="C64" s="120" t="s">
        <v>10</v>
      </c>
      <c r="E64" s="121">
        <f>E62*E63*0.01</f>
        <v>931.5</v>
      </c>
      <c r="F64" s="116"/>
      <c r="G64" s="116"/>
      <c r="H64" s="116"/>
      <c r="I64" s="116"/>
    </row>
    <row r="65" spans="2:9" ht="15.45" x14ac:dyDescent="0.4">
      <c r="B65" s="122" t="s">
        <v>124</v>
      </c>
      <c r="C65" s="119"/>
      <c r="E65" s="123"/>
      <c r="F65" s="116"/>
      <c r="G65" s="116"/>
      <c r="H65" s="116"/>
      <c r="I65" s="116"/>
    </row>
    <row r="66" spans="2:9" ht="15.45" x14ac:dyDescent="0.4">
      <c r="B66" s="120" t="s">
        <v>125</v>
      </c>
      <c r="C66" s="119"/>
      <c r="E66" s="119"/>
      <c r="F66" s="116"/>
      <c r="G66" s="40" t="s">
        <v>148</v>
      </c>
      <c r="H66" s="116"/>
      <c r="I66" s="116"/>
    </row>
    <row r="67" spans="2:9" ht="15.45" x14ac:dyDescent="0.4">
      <c r="B67" s="120" t="s">
        <v>136</v>
      </c>
      <c r="C67" s="120" t="s">
        <v>135</v>
      </c>
      <c r="E67" s="120">
        <f>E12</f>
        <v>142</v>
      </c>
      <c r="F67" s="116"/>
      <c r="G67" s="116"/>
      <c r="H67" s="116"/>
      <c r="I67" s="116"/>
    </row>
    <row r="68" spans="2:9" ht="15.45" x14ac:dyDescent="0.4">
      <c r="B68" s="119" t="s">
        <v>126</v>
      </c>
      <c r="C68" s="119" t="s">
        <v>122</v>
      </c>
      <c r="E68" s="128">
        <f>G12</f>
        <v>398.63414634146346</v>
      </c>
    </row>
    <row r="69" spans="2:9" ht="15.45" x14ac:dyDescent="0.4">
      <c r="B69" s="119" t="s">
        <v>127</v>
      </c>
      <c r="C69" s="119" t="s">
        <v>122</v>
      </c>
      <c r="E69" s="196">
        <f>E68-E62</f>
        <v>-141.36585365853654</v>
      </c>
    </row>
    <row r="70" spans="2:9" ht="15.45" x14ac:dyDescent="0.4">
      <c r="B70" s="119" t="s">
        <v>128</v>
      </c>
      <c r="C70" s="119" t="s">
        <v>129</v>
      </c>
      <c r="E70" s="134">
        <v>0.1</v>
      </c>
    </row>
    <row r="71" spans="2:9" ht="15.45" x14ac:dyDescent="0.4">
      <c r="B71" s="119" t="s">
        <v>130</v>
      </c>
      <c r="C71" s="119" t="s">
        <v>8</v>
      </c>
      <c r="E71" s="124">
        <f>E70*E69*-1</f>
        <v>14.136585365853655</v>
      </c>
    </row>
    <row r="72" spans="2:9" ht="15.45" x14ac:dyDescent="0.4">
      <c r="B72" s="119"/>
      <c r="C72" s="119"/>
      <c r="E72" s="124"/>
    </row>
    <row r="73" spans="2:9" ht="15.45" x14ac:dyDescent="0.4">
      <c r="B73" s="120" t="s">
        <v>131</v>
      </c>
      <c r="C73" s="120" t="s">
        <v>8</v>
      </c>
      <c r="E73" s="121">
        <f>(E63+E71)</f>
        <v>186.63658536585365</v>
      </c>
    </row>
    <row r="74" spans="2:9" ht="15.45" x14ac:dyDescent="0.4">
      <c r="B74" s="120" t="s">
        <v>123</v>
      </c>
      <c r="C74" s="120"/>
      <c r="E74" s="121">
        <f>((E73*0.01)*(E68))</f>
        <v>743.99715883402746</v>
      </c>
    </row>
    <row r="75" spans="2:9" ht="15.45" x14ac:dyDescent="0.4">
      <c r="B75" s="120" t="s">
        <v>132</v>
      </c>
      <c r="C75" s="120" t="s">
        <v>10</v>
      </c>
      <c r="E75" s="125">
        <f>E74-E64</f>
        <v>-187.50284116597254</v>
      </c>
    </row>
    <row r="76" spans="2:9" ht="15.45" x14ac:dyDescent="0.4">
      <c r="B76" s="120" t="s">
        <v>133</v>
      </c>
    </row>
    <row r="77" spans="2:9" x14ac:dyDescent="0.4">
      <c r="B77" s="122" t="s">
        <v>134</v>
      </c>
    </row>
    <row r="79" spans="2:9" ht="15.45" x14ac:dyDescent="0.4">
      <c r="B79" s="272" t="s">
        <v>360</v>
      </c>
      <c r="C79" s="264"/>
      <c r="D79" s="264"/>
      <c r="E79" s="264"/>
      <c r="F79" s="264"/>
    </row>
    <row r="80" spans="2:9" ht="15.45" x14ac:dyDescent="0.4">
      <c r="B80" s="119" t="s">
        <v>119</v>
      </c>
      <c r="C80" s="119" t="s">
        <v>135</v>
      </c>
      <c r="E80" s="120">
        <f>$E$20</f>
        <v>205</v>
      </c>
      <c r="F80" s="116"/>
      <c r="G80" s="40" t="s">
        <v>147</v>
      </c>
    </row>
    <row r="81" spans="2:7" ht="15.45" x14ac:dyDescent="0.4">
      <c r="B81" s="120" t="s">
        <v>120</v>
      </c>
      <c r="C81" s="119"/>
      <c r="E81" s="120"/>
      <c r="F81" s="116"/>
    </row>
    <row r="82" spans="2:7" ht="15.45" x14ac:dyDescent="0.4">
      <c r="B82" s="119" t="s">
        <v>121</v>
      </c>
      <c r="C82" s="119" t="s">
        <v>122</v>
      </c>
      <c r="E82" s="127">
        <f>E62</f>
        <v>540</v>
      </c>
      <c r="F82" s="116"/>
    </row>
    <row r="83" spans="2:7" ht="15.45" x14ac:dyDescent="0.4">
      <c r="B83" s="119" t="s">
        <v>141</v>
      </c>
      <c r="C83" s="119" t="s">
        <v>8</v>
      </c>
      <c r="E83" s="121">
        <f>E63</f>
        <v>172.5</v>
      </c>
      <c r="F83" s="116"/>
    </row>
    <row r="84" spans="2:7" ht="15.45" x14ac:dyDescent="0.4">
      <c r="B84" s="120" t="s">
        <v>123</v>
      </c>
      <c r="C84" s="120" t="s">
        <v>10</v>
      </c>
      <c r="E84" s="121">
        <f>E82*E83*0.01</f>
        <v>931.5</v>
      </c>
      <c r="F84" s="116"/>
    </row>
    <row r="85" spans="2:7" ht="15.45" x14ac:dyDescent="0.4">
      <c r="B85" s="122" t="s">
        <v>124</v>
      </c>
      <c r="C85" s="119"/>
      <c r="E85" s="123"/>
      <c r="F85" s="116"/>
    </row>
    <row r="86" spans="2:7" ht="15.45" x14ac:dyDescent="0.4">
      <c r="B86" s="120" t="s">
        <v>125</v>
      </c>
      <c r="C86" s="119"/>
      <c r="E86" s="119"/>
      <c r="F86" s="116"/>
    </row>
    <row r="87" spans="2:7" ht="15.45" x14ac:dyDescent="0.4">
      <c r="B87" s="120" t="s">
        <v>136</v>
      </c>
      <c r="C87" s="120" t="s">
        <v>135</v>
      </c>
      <c r="E87" s="120">
        <f>E13</f>
        <v>121</v>
      </c>
      <c r="F87" s="116"/>
      <c r="G87" s="40" t="s">
        <v>149</v>
      </c>
    </row>
    <row r="88" spans="2:7" ht="15.45" x14ac:dyDescent="0.4">
      <c r="B88" s="119" t="s">
        <v>126</v>
      </c>
      <c r="C88" s="119" t="s">
        <v>122</v>
      </c>
      <c r="E88" s="128">
        <f>G13</f>
        <v>351.51219512195127</v>
      </c>
    </row>
    <row r="89" spans="2:7" ht="15.45" x14ac:dyDescent="0.4">
      <c r="B89" s="119" t="s">
        <v>127</v>
      </c>
      <c r="C89" s="119" t="s">
        <v>122</v>
      </c>
      <c r="E89" s="196">
        <f>E88-E82</f>
        <v>-188.48780487804873</v>
      </c>
    </row>
    <row r="90" spans="2:7" ht="15.45" x14ac:dyDescent="0.4">
      <c r="B90" s="119" t="s">
        <v>128</v>
      </c>
      <c r="C90" s="119" t="s">
        <v>129</v>
      </c>
      <c r="E90" s="134">
        <v>0.1</v>
      </c>
    </row>
    <row r="91" spans="2:7" ht="15.45" x14ac:dyDescent="0.4">
      <c r="B91" s="119" t="s">
        <v>130</v>
      </c>
      <c r="C91" s="119" t="s">
        <v>8</v>
      </c>
      <c r="E91" s="124">
        <f>E90*E89*-1</f>
        <v>18.848780487804873</v>
      </c>
    </row>
    <row r="92" spans="2:7" ht="15.45" x14ac:dyDescent="0.4">
      <c r="B92" s="119"/>
      <c r="C92" s="119"/>
      <c r="E92" s="124"/>
    </row>
    <row r="93" spans="2:7" ht="15.45" x14ac:dyDescent="0.4">
      <c r="B93" s="120" t="s">
        <v>131</v>
      </c>
      <c r="C93" s="120" t="s">
        <v>8</v>
      </c>
      <c r="E93" s="121">
        <f>(E83+E91)</f>
        <v>191.34878048780487</v>
      </c>
    </row>
    <row r="94" spans="2:7" ht="15.45" x14ac:dyDescent="0.4">
      <c r="B94" s="120" t="s">
        <v>123</v>
      </c>
      <c r="C94" s="120"/>
      <c r="E94" s="121">
        <f>((E93*0.01)*(E88))</f>
        <v>672.61429863176693</v>
      </c>
    </row>
    <row r="95" spans="2:7" ht="15.45" x14ac:dyDescent="0.4">
      <c r="B95" s="120" t="s">
        <v>132</v>
      </c>
      <c r="C95" s="120" t="s">
        <v>10</v>
      </c>
      <c r="E95" s="125">
        <f>E94-E84</f>
        <v>-258.88570136823307</v>
      </c>
    </row>
    <row r="96" spans="2:7" ht="15.45" x14ac:dyDescent="0.4">
      <c r="B96" s="120" t="s">
        <v>133</v>
      </c>
    </row>
    <row r="97" spans="2:2" x14ac:dyDescent="0.4">
      <c r="B97" s="122" t="s">
        <v>134</v>
      </c>
    </row>
  </sheetData>
  <sheetProtection sheet="1" objects="1" scenarios="1"/>
  <mergeCells count="5">
    <mergeCell ref="B19:F19"/>
    <mergeCell ref="B39:F39"/>
    <mergeCell ref="B59:F59"/>
    <mergeCell ref="B79:F79"/>
    <mergeCell ref="B2:J2"/>
  </mergeCells>
  <pageMargins left="0.95" right="0.45" top="0.75" bottom="0.75" header="0.3" footer="0.3"/>
  <pageSetup scale="75" orientation="portrait" horizontalDpi="4294967295" verticalDpi="4294967295" r:id="rId1"/>
  <headerFooter>
    <oddFooter>&amp;L&amp;F&amp;R&amp;A
Page &amp;P of &amp;N</oddFooter>
  </headerFooter>
  <rowBreaks count="1" manualBreakCount="1">
    <brk id="57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53"/>
  <sheetViews>
    <sheetView topLeftCell="A15" workbookViewId="0">
      <selection activeCell="G27" sqref="G27"/>
    </sheetView>
  </sheetViews>
  <sheetFormatPr defaultRowHeight="14.6" x14ac:dyDescent="0.4"/>
  <cols>
    <col min="1" max="1" width="3.69140625" customWidth="1"/>
    <col min="2" max="2" width="19.3828125" customWidth="1"/>
    <col min="3" max="3" width="13.84375" customWidth="1"/>
    <col min="4" max="4" width="12.69140625" customWidth="1"/>
    <col min="5" max="5" width="11.69140625" customWidth="1"/>
    <col min="6" max="6" width="10.53515625" customWidth="1"/>
    <col min="7" max="7" width="14.53515625" customWidth="1"/>
    <col min="8" max="8" width="10.3828125" customWidth="1"/>
  </cols>
  <sheetData>
    <row r="1" spans="2:8" x14ac:dyDescent="0.4">
      <c r="B1" s="94"/>
      <c r="C1" s="94"/>
      <c r="D1" s="94"/>
      <c r="E1" s="94"/>
      <c r="F1" s="94"/>
      <c r="G1" s="94"/>
    </row>
    <row r="2" spans="2:8" ht="18.45" x14ac:dyDescent="0.5">
      <c r="B2" s="261" t="s">
        <v>303</v>
      </c>
      <c r="C2" s="268"/>
      <c r="D2" s="268"/>
      <c r="E2" s="268"/>
      <c r="F2" s="268"/>
      <c r="G2" s="268"/>
      <c r="H2" s="268"/>
    </row>
    <row r="3" spans="2:8" x14ac:dyDescent="0.4">
      <c r="B3" s="154"/>
      <c r="C3" s="155"/>
      <c r="D3" s="155"/>
      <c r="E3" s="155"/>
      <c r="F3" s="155"/>
      <c r="G3" s="155"/>
      <c r="H3" s="155"/>
    </row>
    <row r="4" spans="2:8" ht="15.9" x14ac:dyDescent="0.45">
      <c r="B4" s="172"/>
      <c r="C4" s="172" t="s">
        <v>195</v>
      </c>
      <c r="D4" s="273" t="s">
        <v>171</v>
      </c>
      <c r="E4" s="274"/>
      <c r="F4" s="274"/>
      <c r="G4" s="172" t="s">
        <v>182</v>
      </c>
      <c r="H4" s="156"/>
    </row>
    <row r="5" spans="2:8" ht="15.45" x14ac:dyDescent="0.4">
      <c r="B5" s="172"/>
      <c r="C5" s="177" t="s">
        <v>179</v>
      </c>
      <c r="D5" s="177"/>
      <c r="E5" s="177" t="s">
        <v>172</v>
      </c>
      <c r="F5" s="177" t="s">
        <v>173</v>
      </c>
      <c r="G5" s="177" t="s">
        <v>175</v>
      </c>
      <c r="H5" s="177" t="s">
        <v>178</v>
      </c>
    </row>
    <row r="6" spans="2:8" ht="15.9" x14ac:dyDescent="0.45">
      <c r="B6" s="156"/>
      <c r="C6" s="177" t="s">
        <v>170</v>
      </c>
      <c r="D6" s="177" t="s">
        <v>116</v>
      </c>
      <c r="E6" s="177" t="s">
        <v>8</v>
      </c>
      <c r="F6" s="177" t="s">
        <v>174</v>
      </c>
      <c r="G6" s="177" t="s">
        <v>176</v>
      </c>
      <c r="H6" s="177" t="s">
        <v>188</v>
      </c>
    </row>
    <row r="7" spans="2:8" ht="15.45" x14ac:dyDescent="0.4">
      <c r="B7" s="172" t="s">
        <v>180</v>
      </c>
      <c r="C7" s="178">
        <f>'2.Cattle Prices-Herd Investment'!C6</f>
        <v>5000</v>
      </c>
      <c r="D7" s="179">
        <f>'2.Cattle Prices-Herd Investment'!D6</f>
        <v>1800</v>
      </c>
      <c r="E7" s="178">
        <f>'2.Cattle Prices-Herd Investment'!E6</f>
        <v>70</v>
      </c>
      <c r="F7" s="180">
        <f>D7*E7*0.01</f>
        <v>1260</v>
      </c>
      <c r="G7" s="180">
        <f>C7-F7</f>
        <v>3740</v>
      </c>
      <c r="H7" s="158">
        <f>G7/C7</f>
        <v>0.748</v>
      </c>
    </row>
    <row r="8" spans="2:8" ht="15.9" x14ac:dyDescent="0.45">
      <c r="B8" s="172"/>
      <c r="C8" s="172"/>
      <c r="D8" s="172"/>
      <c r="E8" s="172"/>
      <c r="F8" s="172"/>
      <c r="G8" s="172"/>
      <c r="H8" s="156"/>
    </row>
    <row r="9" spans="2:8" ht="15.45" x14ac:dyDescent="0.4">
      <c r="B9" s="172" t="s">
        <v>177</v>
      </c>
      <c r="C9" s="178">
        <f>'2.Cattle Prices-Herd Investment'!C7</f>
        <v>1650</v>
      </c>
      <c r="D9" s="179">
        <f>'2.Cattle Prices-Herd Investment'!D7</f>
        <v>1200</v>
      </c>
      <c r="E9" s="178">
        <f>'2.Cattle Prices-Herd Investment'!E7</f>
        <v>55</v>
      </c>
      <c r="F9" s="180">
        <f>D9*E9*0.01</f>
        <v>660</v>
      </c>
      <c r="G9" s="180">
        <f>C9-F9</f>
        <v>990</v>
      </c>
      <c r="H9" s="158">
        <f>G9/C9</f>
        <v>0.6</v>
      </c>
    </row>
    <row r="10" spans="2:8" ht="15.9" x14ac:dyDescent="0.45">
      <c r="B10" s="172"/>
      <c r="C10" s="172"/>
      <c r="D10" s="172"/>
      <c r="E10" s="172"/>
      <c r="F10" s="172"/>
      <c r="G10" s="172"/>
      <c r="H10" s="156"/>
    </row>
    <row r="11" spans="2:8" ht="15.9" x14ac:dyDescent="0.45">
      <c r="B11" s="172"/>
      <c r="C11" s="172"/>
      <c r="D11" s="172"/>
      <c r="E11" s="172"/>
      <c r="F11" s="172"/>
      <c r="G11" s="40" t="s">
        <v>182</v>
      </c>
      <c r="H11" s="156"/>
    </row>
    <row r="12" spans="2:8" ht="15.9" x14ac:dyDescent="0.45">
      <c r="B12" s="40" t="s">
        <v>183</v>
      </c>
      <c r="C12" s="40" t="s">
        <v>190</v>
      </c>
      <c r="D12" s="172"/>
      <c r="E12" s="172"/>
      <c r="F12" s="172"/>
      <c r="G12" s="172"/>
      <c r="H12" s="156"/>
    </row>
    <row r="13" spans="2:8" ht="15.9" x14ac:dyDescent="0.45">
      <c r="B13" s="172" t="s">
        <v>184</v>
      </c>
      <c r="C13" s="174">
        <v>4</v>
      </c>
      <c r="D13" s="172"/>
      <c r="E13" s="172"/>
      <c r="F13" s="172"/>
      <c r="G13" s="180">
        <f>C13*G7</f>
        <v>14960</v>
      </c>
      <c r="H13" s="156"/>
    </row>
    <row r="14" spans="2:8" ht="15.9" x14ac:dyDescent="0.45">
      <c r="B14" s="172"/>
      <c r="C14" s="172"/>
      <c r="D14" s="172"/>
      <c r="E14" s="172"/>
      <c r="F14" s="172"/>
      <c r="G14" s="180"/>
      <c r="H14" s="156"/>
    </row>
    <row r="15" spans="2:8" ht="15.9" x14ac:dyDescent="0.45">
      <c r="B15" s="172" t="s">
        <v>194</v>
      </c>
      <c r="C15" s="174">
        <v>100</v>
      </c>
      <c r="D15" s="172"/>
      <c r="E15" s="172"/>
      <c r="F15" s="172"/>
      <c r="G15" s="180">
        <f>C15*G9</f>
        <v>99000</v>
      </c>
      <c r="H15" s="156"/>
    </row>
    <row r="16" spans="2:8" ht="15.9" x14ac:dyDescent="0.45">
      <c r="B16" s="172"/>
      <c r="C16" s="172"/>
      <c r="D16" s="172"/>
      <c r="E16" s="172"/>
      <c r="F16" s="172"/>
      <c r="G16" s="172"/>
      <c r="H16" s="156"/>
    </row>
    <row r="17" spans="2:8" ht="15.9" x14ac:dyDescent="0.45">
      <c r="B17" s="40" t="s">
        <v>185</v>
      </c>
      <c r="C17" s="40"/>
      <c r="D17" s="40"/>
      <c r="E17" s="40"/>
      <c r="F17" s="40"/>
      <c r="G17" s="181">
        <f>G13+G15</f>
        <v>113960</v>
      </c>
      <c r="H17" s="156"/>
    </row>
    <row r="18" spans="2:8" ht="15.9" x14ac:dyDescent="0.45">
      <c r="B18" s="40"/>
      <c r="C18" s="40"/>
      <c r="D18" s="40"/>
      <c r="E18" s="40"/>
      <c r="F18" s="40"/>
      <c r="G18" s="181"/>
      <c r="H18" s="156"/>
    </row>
    <row r="19" spans="2:8" ht="15.45" x14ac:dyDescent="0.4">
      <c r="B19" s="40" t="s">
        <v>337</v>
      </c>
      <c r="C19" s="40"/>
      <c r="D19" s="40"/>
      <c r="E19" s="40"/>
      <c r="F19" s="40"/>
      <c r="G19" s="181">
        <f>C13*C7+C15*C9</f>
        <v>185000</v>
      </c>
      <c r="H19" s="157">
        <f>G17/G19</f>
        <v>0.61599999999999999</v>
      </c>
    </row>
    <row r="20" spans="2:8" ht="15.9" x14ac:dyDescent="0.45">
      <c r="B20" s="40"/>
      <c r="C20" s="40"/>
      <c r="D20" s="40"/>
      <c r="E20" s="40"/>
      <c r="F20" s="40"/>
      <c r="G20" s="181"/>
      <c r="H20" s="156"/>
    </row>
    <row r="21" spans="2:8" ht="15.9" x14ac:dyDescent="0.45">
      <c r="B21" s="172"/>
      <c r="C21" s="172"/>
      <c r="D21" s="172" t="s">
        <v>116</v>
      </c>
      <c r="E21" s="172" t="s">
        <v>192</v>
      </c>
      <c r="F21" s="172" t="s">
        <v>193</v>
      </c>
      <c r="G21" s="172" t="s">
        <v>187</v>
      </c>
      <c r="H21" s="156"/>
    </row>
    <row r="22" spans="2:8" ht="15.9" x14ac:dyDescent="0.45">
      <c r="B22" s="40" t="s">
        <v>186</v>
      </c>
      <c r="C22" s="172"/>
      <c r="D22" s="179">
        <f>'2.Cattle Prices-Herd Investment'!D12</f>
        <v>540</v>
      </c>
      <c r="E22" s="178">
        <f>'2.Cattle Prices-Herd Investment'!E12</f>
        <v>172.5</v>
      </c>
      <c r="F22" s="180">
        <f>D22*E22*0.01</f>
        <v>931.5</v>
      </c>
      <c r="G22" s="182">
        <f>G17/F22</f>
        <v>122.34031132581858</v>
      </c>
      <c r="H22" s="156"/>
    </row>
    <row r="23" spans="2:8" ht="15.9" x14ac:dyDescent="0.45">
      <c r="B23" s="40"/>
      <c r="C23" s="172"/>
      <c r="D23" s="174"/>
      <c r="E23" s="173"/>
      <c r="F23" s="180"/>
      <c r="G23" s="182"/>
      <c r="H23" s="156"/>
    </row>
    <row r="24" spans="2:8" ht="15.9" x14ac:dyDescent="0.45">
      <c r="B24" s="40"/>
      <c r="C24" s="172"/>
      <c r="D24" s="174"/>
      <c r="E24" s="173"/>
      <c r="F24" s="180"/>
      <c r="G24" s="182"/>
      <c r="H24" s="156"/>
    </row>
    <row r="25" spans="2:8" ht="15.9" x14ac:dyDescent="0.45">
      <c r="B25" s="172"/>
      <c r="C25" s="172"/>
      <c r="D25" s="40" t="s">
        <v>191</v>
      </c>
      <c r="E25" s="156"/>
      <c r="F25" s="172"/>
      <c r="G25" s="172"/>
      <c r="H25" s="156"/>
    </row>
    <row r="26" spans="2:8" ht="15.9" x14ac:dyDescent="0.45">
      <c r="B26" s="172"/>
      <c r="C26" s="172"/>
      <c r="D26" s="40"/>
      <c r="E26" s="195" t="s">
        <v>238</v>
      </c>
      <c r="F26" s="172"/>
      <c r="G26" s="40" t="s">
        <v>237</v>
      </c>
      <c r="H26" s="156"/>
    </row>
    <row r="27" spans="2:8" ht="15.9" x14ac:dyDescent="0.45">
      <c r="B27" s="40" t="s">
        <v>189</v>
      </c>
      <c r="C27" s="174">
        <v>85</v>
      </c>
      <c r="D27" s="172" t="s">
        <v>21</v>
      </c>
      <c r="E27" s="195">
        <f>C27*C15*0.01</f>
        <v>85</v>
      </c>
      <c r="F27" s="172"/>
      <c r="G27" s="183">
        <f>G22/E27</f>
        <v>1.4392977803037479</v>
      </c>
      <c r="H27" s="156"/>
    </row>
    <row r="28" spans="2:8" ht="15.9" x14ac:dyDescent="0.45">
      <c r="B28" s="40"/>
      <c r="C28" s="174"/>
      <c r="D28" s="172"/>
      <c r="E28" s="156"/>
      <c r="F28" s="172"/>
      <c r="G28" s="183"/>
      <c r="H28" s="156"/>
    </row>
    <row r="29" spans="2:8" ht="15.9" x14ac:dyDescent="0.45">
      <c r="B29" s="275" t="s">
        <v>338</v>
      </c>
      <c r="C29" s="276"/>
      <c r="D29" s="276"/>
      <c r="E29" s="276"/>
      <c r="F29" s="276"/>
      <c r="G29" s="277"/>
      <c r="H29" s="156"/>
    </row>
    <row r="30" spans="2:8" ht="15.9" x14ac:dyDescent="0.45">
      <c r="B30" s="149"/>
      <c r="C30" s="149"/>
      <c r="D30" s="149"/>
      <c r="E30" s="149"/>
      <c r="F30" s="149"/>
      <c r="G30" s="149"/>
      <c r="H30" s="156"/>
    </row>
    <row r="31" spans="2:8" ht="15.9" x14ac:dyDescent="0.45">
      <c r="B31" s="149"/>
      <c r="C31" s="149"/>
      <c r="D31" s="149"/>
      <c r="E31" s="149"/>
      <c r="F31" s="149"/>
      <c r="G31" s="149"/>
      <c r="H31" s="156"/>
    </row>
    <row r="32" spans="2:8" ht="15.9" x14ac:dyDescent="0.45">
      <c r="B32" s="202" t="s">
        <v>243</v>
      </c>
      <c r="C32" s="172"/>
      <c r="D32" s="172"/>
      <c r="E32" s="172"/>
      <c r="F32" s="172"/>
      <c r="G32" s="172"/>
      <c r="H32" s="156"/>
    </row>
    <row r="33" spans="2:8" ht="15.45" x14ac:dyDescent="0.4">
      <c r="B33" s="259" t="s">
        <v>245</v>
      </c>
      <c r="C33" s="278"/>
      <c r="D33" s="278"/>
      <c r="E33" s="278"/>
      <c r="F33" s="278"/>
      <c r="G33" s="278"/>
      <c r="H33" s="278"/>
    </row>
    <row r="34" spans="2:8" ht="15.45" x14ac:dyDescent="0.4">
      <c r="B34" s="159"/>
      <c r="C34" s="159"/>
      <c r="D34" s="159"/>
      <c r="E34" s="159"/>
      <c r="F34" s="159"/>
    </row>
    <row r="35" spans="2:8" x14ac:dyDescent="0.4">
      <c r="B35" s="269" t="s">
        <v>339</v>
      </c>
      <c r="C35" s="266"/>
      <c r="D35" s="266"/>
      <c r="E35" s="266"/>
      <c r="F35" s="266"/>
      <c r="G35" s="266"/>
      <c r="H35" s="267"/>
    </row>
    <row r="36" spans="2:8" ht="15.45" x14ac:dyDescent="0.4">
      <c r="B36" s="159"/>
      <c r="C36" s="159"/>
      <c r="D36" s="159"/>
      <c r="E36" s="159"/>
      <c r="F36" s="159"/>
    </row>
    <row r="37" spans="2:8" ht="15.45" x14ac:dyDescent="0.4">
      <c r="B37" s="40" t="s">
        <v>197</v>
      </c>
      <c r="D37" s="135">
        <v>100</v>
      </c>
      <c r="E37" s="159" t="s">
        <v>181</v>
      </c>
      <c r="F37" s="159"/>
    </row>
    <row r="38" spans="2:8" ht="15.45" x14ac:dyDescent="0.4">
      <c r="C38" s="159"/>
      <c r="D38" s="159"/>
      <c r="E38" s="159"/>
      <c r="F38" s="164" t="s">
        <v>200</v>
      </c>
    </row>
    <row r="39" spans="2:8" ht="15.45" x14ac:dyDescent="0.4">
      <c r="B39" s="105" t="s">
        <v>112</v>
      </c>
      <c r="C39" s="164"/>
      <c r="D39" s="164" t="s">
        <v>199</v>
      </c>
      <c r="E39" s="164" t="s">
        <v>199</v>
      </c>
      <c r="F39" s="205" t="s">
        <v>246</v>
      </c>
      <c r="G39" s="164" t="s">
        <v>202</v>
      </c>
      <c r="H39" s="12"/>
    </row>
    <row r="40" spans="2:8" ht="15.45" x14ac:dyDescent="0.4">
      <c r="B40" s="105" t="s">
        <v>196</v>
      </c>
      <c r="C40" s="164" t="s">
        <v>198</v>
      </c>
      <c r="D40" s="164" t="s">
        <v>206</v>
      </c>
      <c r="E40" s="164" t="s">
        <v>205</v>
      </c>
      <c r="F40" s="164" t="s">
        <v>201</v>
      </c>
      <c r="G40" s="164" t="s">
        <v>201</v>
      </c>
      <c r="H40" s="154" t="s">
        <v>203</v>
      </c>
    </row>
    <row r="41" spans="2:8" ht="15.45" x14ac:dyDescent="0.4">
      <c r="B41" s="135">
        <v>40</v>
      </c>
      <c r="C41" s="201">
        <f>'2.Cattle Prices-Herd Investment'!D12</f>
        <v>540</v>
      </c>
      <c r="D41" s="55">
        <f>'2.Cattle Prices-Herd Investment'!E12</f>
        <v>172.5</v>
      </c>
      <c r="E41" s="161">
        <f>C41*D41*0.01</f>
        <v>931.5</v>
      </c>
      <c r="F41" s="161">
        <f t="shared" ref="F41:F46" si="0">$E$41*$B41*$D$37*0.01</f>
        <v>37260</v>
      </c>
      <c r="G41" s="159"/>
      <c r="H41" s="159"/>
    </row>
    <row r="42" spans="2:8" ht="15.45" x14ac:dyDescent="0.4">
      <c r="B42" s="159">
        <f>B41+10</f>
        <v>50</v>
      </c>
      <c r="C42" s="159"/>
      <c r="D42" s="159"/>
      <c r="E42" s="159"/>
      <c r="F42" s="161">
        <f t="shared" si="0"/>
        <v>46575</v>
      </c>
      <c r="G42" s="161">
        <f>F42-F41</f>
        <v>9315</v>
      </c>
    </row>
    <row r="43" spans="2:8" ht="15.45" x14ac:dyDescent="0.4">
      <c r="B43" s="159">
        <f>B42+10</f>
        <v>60</v>
      </c>
      <c r="C43" s="159"/>
      <c r="D43" s="159"/>
      <c r="E43" s="159"/>
      <c r="F43" s="161">
        <f t="shared" si="0"/>
        <v>55890</v>
      </c>
      <c r="G43" s="161">
        <f>F43-F42</f>
        <v>9315</v>
      </c>
      <c r="H43" s="160"/>
    </row>
    <row r="44" spans="2:8" ht="15.45" x14ac:dyDescent="0.4">
      <c r="B44" s="159">
        <f>B43+10</f>
        <v>70</v>
      </c>
      <c r="C44" s="159"/>
      <c r="D44" s="159"/>
      <c r="E44" s="159"/>
      <c r="F44" s="161">
        <f t="shared" si="0"/>
        <v>65205</v>
      </c>
      <c r="G44" s="161">
        <f>F44-F43</f>
        <v>9315</v>
      </c>
      <c r="H44" s="160"/>
    </row>
    <row r="45" spans="2:8" ht="15.45" x14ac:dyDescent="0.4">
      <c r="B45" s="159">
        <f>B44+10</f>
        <v>80</v>
      </c>
      <c r="C45" s="159"/>
      <c r="D45" s="159"/>
      <c r="E45" s="159"/>
      <c r="F45" s="161">
        <f t="shared" si="0"/>
        <v>74520</v>
      </c>
      <c r="G45" s="161">
        <f>F45-F44</f>
        <v>9315</v>
      </c>
      <c r="H45" s="160"/>
    </row>
    <row r="46" spans="2:8" ht="15.45" x14ac:dyDescent="0.4">
      <c r="B46" s="159">
        <f>B45+10</f>
        <v>90</v>
      </c>
      <c r="C46" s="159"/>
      <c r="D46" s="159"/>
      <c r="E46" s="159"/>
      <c r="F46" s="161">
        <f t="shared" si="0"/>
        <v>83835</v>
      </c>
      <c r="G46" s="161">
        <f>F46-F45</f>
        <v>9315</v>
      </c>
      <c r="H46" s="160"/>
    </row>
    <row r="47" spans="2:8" ht="15.45" x14ac:dyDescent="0.4">
      <c r="B47" s="153" t="s">
        <v>204</v>
      </c>
      <c r="C47" s="159"/>
      <c r="D47" s="159"/>
      <c r="E47" s="159"/>
      <c r="F47" s="159"/>
      <c r="H47" s="162">
        <f>G42/$D$37</f>
        <v>93.15</v>
      </c>
    </row>
    <row r="48" spans="2:8" ht="15.45" x14ac:dyDescent="0.4">
      <c r="B48" s="153" t="s">
        <v>244</v>
      </c>
      <c r="C48" s="159"/>
      <c r="D48" s="159"/>
      <c r="E48" s="159"/>
      <c r="F48" s="159"/>
    </row>
    <row r="49" spans="2:6" ht="15.45" x14ac:dyDescent="0.4">
      <c r="B49" s="159"/>
      <c r="C49" s="159"/>
      <c r="D49" s="159"/>
      <c r="E49" s="159"/>
      <c r="F49" s="159"/>
    </row>
    <row r="50" spans="2:6" ht="15.45" x14ac:dyDescent="0.4">
      <c r="B50" s="159"/>
      <c r="C50" s="159"/>
      <c r="D50" s="159"/>
      <c r="E50" s="159"/>
      <c r="F50" s="159"/>
    </row>
    <row r="51" spans="2:6" ht="15.45" x14ac:dyDescent="0.4">
      <c r="B51" s="159"/>
      <c r="C51" s="159"/>
      <c r="D51" s="159"/>
      <c r="E51" s="159"/>
      <c r="F51" s="159"/>
    </row>
    <row r="52" spans="2:6" ht="15.45" x14ac:dyDescent="0.4">
      <c r="B52" s="159"/>
      <c r="C52" s="159"/>
      <c r="D52" s="159"/>
      <c r="E52" s="159"/>
      <c r="F52" s="159"/>
    </row>
    <row r="53" spans="2:6" ht="15.45" x14ac:dyDescent="0.4">
      <c r="B53" s="159"/>
      <c r="C53" s="159"/>
      <c r="D53" s="159"/>
      <c r="E53" s="159"/>
      <c r="F53" s="159"/>
    </row>
  </sheetData>
  <sheetProtection sheet="1" objects="1" scenarios="1"/>
  <mergeCells count="5">
    <mergeCell ref="D4:F4"/>
    <mergeCell ref="B2:H2"/>
    <mergeCell ref="B29:G29"/>
    <mergeCell ref="B33:H33"/>
    <mergeCell ref="B35:H35"/>
  </mergeCells>
  <pageMargins left="0.95" right="0.45" top="0.75" bottom="0.75" header="0.3" footer="0.3"/>
  <pageSetup scale="89" orientation="portrait" horizontalDpi="4294967295" verticalDpi="4294967295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61"/>
  <sheetViews>
    <sheetView workbookViewId="0">
      <selection activeCell="G19" sqref="G19"/>
    </sheetView>
  </sheetViews>
  <sheetFormatPr defaultRowHeight="14.6" x14ac:dyDescent="0.4"/>
  <cols>
    <col min="1" max="1" width="4.84375" customWidth="1"/>
    <col min="2" max="2" width="22.3046875" customWidth="1"/>
    <col min="3" max="3" width="8.84375" bestFit="1" customWidth="1"/>
    <col min="4" max="4" width="9.53515625" customWidth="1"/>
    <col min="5" max="5" width="10.3828125" customWidth="1"/>
    <col min="6" max="6" width="10.15234375" customWidth="1"/>
    <col min="7" max="7" width="14.3828125" customWidth="1"/>
    <col min="8" max="8" width="9.84375" customWidth="1"/>
    <col min="9" max="9" width="13.15234375" customWidth="1"/>
    <col min="10" max="10" width="9.53515625" customWidth="1"/>
    <col min="11" max="11" width="9.84375" customWidth="1"/>
  </cols>
  <sheetData>
    <row r="1" spans="2:15" ht="17.600000000000001" x14ac:dyDescent="0.4">
      <c r="B1" s="283" t="s">
        <v>94</v>
      </c>
      <c r="C1" s="260"/>
      <c r="D1" s="260"/>
      <c r="E1" s="260"/>
      <c r="F1" s="260"/>
      <c r="G1" s="260"/>
      <c r="H1" s="260"/>
      <c r="I1" s="260"/>
      <c r="J1" s="1"/>
      <c r="K1" s="1"/>
      <c r="L1" s="1"/>
      <c r="M1" s="1"/>
      <c r="N1" s="1"/>
      <c r="O1" s="2"/>
    </row>
    <row r="2" spans="2:15" ht="17.600000000000001" x14ac:dyDescent="0.4">
      <c r="B2" s="283" t="s">
        <v>95</v>
      </c>
      <c r="C2" s="260"/>
      <c r="D2" s="260"/>
      <c r="E2" s="260"/>
      <c r="F2" s="260"/>
      <c r="G2" s="260"/>
      <c r="H2" s="260"/>
      <c r="I2" s="260"/>
      <c r="J2" s="1"/>
      <c r="K2" s="1"/>
      <c r="L2" s="4"/>
      <c r="M2" s="2"/>
      <c r="N2" s="2"/>
      <c r="O2" s="2"/>
    </row>
    <row r="3" spans="2:15" ht="8.15" customHeight="1" x14ac:dyDescent="0.4">
      <c r="B3" s="11"/>
      <c r="C3" s="12"/>
      <c r="D3" s="12"/>
      <c r="E3" s="12"/>
      <c r="F3" s="12"/>
      <c r="G3" s="12"/>
      <c r="H3" s="12"/>
      <c r="I3" s="12"/>
      <c r="J3" s="1"/>
      <c r="K3" s="1"/>
      <c r="L3" s="4"/>
      <c r="M3" s="2"/>
      <c r="N3" s="2"/>
      <c r="O3" s="2"/>
    </row>
    <row r="4" spans="2:15" ht="17.600000000000001" x14ac:dyDescent="0.4">
      <c r="B4" s="3" t="s">
        <v>0</v>
      </c>
      <c r="C4" s="3"/>
      <c r="D4" s="3"/>
      <c r="E4" s="3"/>
      <c r="F4" s="3"/>
      <c r="G4" s="3"/>
      <c r="H4" s="3"/>
      <c r="I4" s="2"/>
      <c r="J4" s="1"/>
      <c r="K4" s="1"/>
      <c r="L4" s="101"/>
      <c r="M4" s="3"/>
      <c r="N4" s="3"/>
      <c r="O4" s="2"/>
    </row>
    <row r="5" spans="2:15" ht="17.600000000000001" x14ac:dyDescent="0.4">
      <c r="B5" s="106" t="s">
        <v>90</v>
      </c>
      <c r="C5" s="20"/>
      <c r="D5" s="20"/>
      <c r="E5" s="20"/>
      <c r="F5" s="20"/>
      <c r="G5" s="21" t="s">
        <v>1</v>
      </c>
      <c r="H5" s="21"/>
      <c r="I5" s="22">
        <v>100</v>
      </c>
      <c r="J5" s="23"/>
      <c r="K5" s="1"/>
      <c r="L5" s="2"/>
      <c r="M5" s="2"/>
      <c r="N5" s="2"/>
      <c r="O5" s="2"/>
    </row>
    <row r="6" spans="2:15" ht="17.600000000000001" x14ac:dyDescent="0.4">
      <c r="B6" s="106" t="s">
        <v>91</v>
      </c>
      <c r="C6" s="20"/>
      <c r="D6" s="20"/>
      <c r="E6" s="20"/>
      <c r="F6" s="20"/>
      <c r="G6" s="21" t="s">
        <v>1</v>
      </c>
      <c r="H6" s="21"/>
      <c r="I6" s="22">
        <v>25</v>
      </c>
      <c r="J6" s="23"/>
      <c r="K6" s="1"/>
      <c r="N6" s="2"/>
      <c r="O6" s="2"/>
    </row>
    <row r="7" spans="2:15" ht="17.600000000000001" x14ac:dyDescent="0.4">
      <c r="B7" s="20" t="s">
        <v>2</v>
      </c>
      <c r="C7" s="20"/>
      <c r="D7" s="20"/>
      <c r="E7" s="20"/>
      <c r="F7" s="20"/>
      <c r="G7" s="21" t="s">
        <v>3</v>
      </c>
      <c r="H7" s="21"/>
      <c r="I7" s="100">
        <v>85</v>
      </c>
      <c r="J7" s="23"/>
      <c r="K7" s="1"/>
      <c r="N7" s="2"/>
      <c r="O7" s="2"/>
    </row>
    <row r="8" spans="2:15" ht="17.600000000000001" x14ac:dyDescent="0.4">
      <c r="B8" s="20" t="s">
        <v>4</v>
      </c>
      <c r="C8" s="20"/>
      <c r="D8" s="20"/>
      <c r="E8" s="20"/>
      <c r="F8" s="20"/>
      <c r="G8" s="21" t="s">
        <v>5</v>
      </c>
      <c r="H8" s="21"/>
      <c r="I8" s="107">
        <f>'2.Cattle Prices-Herd Investment'!D12</f>
        <v>540</v>
      </c>
      <c r="J8" s="23"/>
      <c r="K8" s="1"/>
      <c r="N8" s="2"/>
      <c r="O8" s="2"/>
    </row>
    <row r="9" spans="2:15" ht="17.600000000000001" x14ac:dyDescent="0.4">
      <c r="B9" s="20" t="s">
        <v>6</v>
      </c>
      <c r="C9" s="20"/>
      <c r="D9" s="20"/>
      <c r="E9" s="20"/>
      <c r="F9" s="20"/>
      <c r="G9" s="21" t="s">
        <v>7</v>
      </c>
      <c r="H9" s="21"/>
      <c r="I9" s="23">
        <f>I7*I8*0.01</f>
        <v>459</v>
      </c>
      <c r="J9" s="23"/>
      <c r="K9" s="1"/>
      <c r="L9" s="2"/>
      <c r="M9" s="2"/>
      <c r="N9" s="2"/>
      <c r="O9" s="2"/>
    </row>
    <row r="10" spans="2:15" ht="17.600000000000001" x14ac:dyDescent="0.4">
      <c r="B10" s="115" t="s">
        <v>105</v>
      </c>
      <c r="C10" s="20"/>
      <c r="D10" s="20"/>
      <c r="E10" s="20"/>
      <c r="F10" s="20"/>
      <c r="G10" s="21" t="s">
        <v>8</v>
      </c>
      <c r="H10" s="21"/>
      <c r="I10" s="124">
        <f>'2.Cattle Prices-Herd Investment'!E12</f>
        <v>172.5</v>
      </c>
      <c r="J10" s="23"/>
      <c r="K10" s="10"/>
      <c r="L10" s="2"/>
      <c r="M10" s="2"/>
      <c r="N10" s="2"/>
      <c r="O10" s="2"/>
    </row>
    <row r="11" spans="2:15" ht="15.45" x14ac:dyDescent="0.4">
      <c r="B11" s="20" t="s">
        <v>9</v>
      </c>
      <c r="C11" s="20"/>
      <c r="D11" s="20"/>
      <c r="E11" s="20"/>
      <c r="F11" s="20"/>
      <c r="G11" s="21" t="s">
        <v>10</v>
      </c>
      <c r="H11" s="21"/>
      <c r="I11" s="26">
        <f>I9*I10*0.01</f>
        <v>791.77499999999998</v>
      </c>
      <c r="J11" s="26"/>
      <c r="K11" s="19" t="s">
        <v>152</v>
      </c>
      <c r="M11" s="2"/>
      <c r="N11" s="2"/>
      <c r="O11" s="2"/>
    </row>
    <row r="12" spans="2:15" ht="15.45" x14ac:dyDescent="0.4">
      <c r="B12" s="20" t="s">
        <v>25</v>
      </c>
      <c r="C12" s="20"/>
      <c r="D12" s="20"/>
      <c r="E12" s="20"/>
      <c r="F12" s="20"/>
      <c r="G12" s="20"/>
      <c r="H12" s="20"/>
      <c r="I12" s="20"/>
      <c r="J12" s="20"/>
      <c r="K12" s="2"/>
      <c r="L12" s="2"/>
      <c r="M12" s="2"/>
      <c r="N12" s="2"/>
      <c r="O12" s="2"/>
    </row>
    <row r="13" spans="2:15" ht="8.15" customHeight="1" x14ac:dyDescent="0.4">
      <c r="B13" s="20"/>
      <c r="C13" s="20"/>
      <c r="D13" s="20"/>
      <c r="E13" s="20"/>
      <c r="F13" s="20"/>
      <c r="G13" s="20"/>
      <c r="H13" s="20"/>
      <c r="J13" s="20"/>
      <c r="K13" s="2"/>
      <c r="L13" s="2"/>
      <c r="M13" s="2"/>
      <c r="N13" s="2"/>
      <c r="O13" s="2"/>
    </row>
    <row r="14" spans="2:15" ht="15.45" x14ac:dyDescent="0.4">
      <c r="B14" s="3" t="s">
        <v>12</v>
      </c>
      <c r="C14" s="3"/>
      <c r="D14" s="3"/>
      <c r="E14" s="3"/>
      <c r="F14" s="3"/>
      <c r="G14" s="3"/>
      <c r="H14" s="3"/>
      <c r="I14" s="20" t="s">
        <v>11</v>
      </c>
      <c r="J14" s="20"/>
      <c r="K14" s="2"/>
      <c r="L14" s="6"/>
      <c r="M14" s="6"/>
      <c r="N14" s="6"/>
      <c r="O14" s="2"/>
    </row>
    <row r="15" spans="2:15" ht="15.45" x14ac:dyDescent="0.4">
      <c r="B15" s="27" t="s">
        <v>161</v>
      </c>
      <c r="C15" s="20"/>
      <c r="D15" s="20"/>
      <c r="E15" s="20"/>
      <c r="F15" s="20"/>
      <c r="G15" s="21" t="s">
        <v>10</v>
      </c>
      <c r="H15" s="21"/>
      <c r="I15" s="25">
        <v>50</v>
      </c>
      <c r="J15" s="3"/>
      <c r="K15" s="6"/>
      <c r="M15" s="2"/>
      <c r="N15" s="2"/>
      <c r="O15" s="2"/>
    </row>
    <row r="16" spans="2:15" ht="15.45" x14ac:dyDescent="0.4">
      <c r="B16" s="145" t="s">
        <v>162</v>
      </c>
      <c r="C16" s="20"/>
      <c r="D16" s="20"/>
      <c r="E16" s="20"/>
      <c r="F16" s="20"/>
      <c r="G16" s="21" t="s">
        <v>10</v>
      </c>
      <c r="H16" s="21"/>
      <c r="I16" s="25">
        <v>5</v>
      </c>
      <c r="J16" s="3"/>
      <c r="K16" s="6"/>
      <c r="L16" s="2"/>
      <c r="M16" s="2"/>
      <c r="N16" s="2"/>
      <c r="O16" s="2"/>
    </row>
    <row r="17" spans="2:15" ht="15.45" x14ac:dyDescent="0.4">
      <c r="B17" s="139" t="s">
        <v>155</v>
      </c>
      <c r="C17" s="20"/>
      <c r="D17" s="20"/>
      <c r="E17" s="20"/>
      <c r="F17" s="20"/>
      <c r="G17" s="21" t="s">
        <v>10</v>
      </c>
      <c r="H17" s="21"/>
      <c r="I17" s="25">
        <v>10</v>
      </c>
      <c r="J17" s="3"/>
      <c r="K17" s="6"/>
      <c r="L17" s="2"/>
      <c r="M17" s="2"/>
      <c r="N17" s="2"/>
      <c r="O17" s="2"/>
    </row>
    <row r="18" spans="2:15" ht="15.45" x14ac:dyDescent="0.4">
      <c r="B18" s="20"/>
      <c r="C18" s="20"/>
      <c r="D18" s="20"/>
      <c r="E18" s="20"/>
      <c r="F18" s="20"/>
      <c r="G18" s="21"/>
      <c r="H18" s="21"/>
      <c r="I18" s="26"/>
      <c r="J18" s="3"/>
      <c r="K18" s="6"/>
      <c r="L18" s="2"/>
      <c r="M18" s="2"/>
      <c r="N18" s="2"/>
      <c r="O18" s="2"/>
    </row>
    <row r="19" spans="2:15" ht="15.45" x14ac:dyDescent="0.4">
      <c r="B19" s="3" t="s">
        <v>13</v>
      </c>
      <c r="C19" s="3"/>
      <c r="D19" s="3"/>
      <c r="E19" s="3"/>
      <c r="F19" s="3"/>
      <c r="G19" s="137" t="s">
        <v>10</v>
      </c>
      <c r="H19" s="28"/>
      <c r="I19" s="29">
        <f>I15+I16+I17</f>
        <v>65</v>
      </c>
      <c r="J19" s="3"/>
      <c r="K19" s="6"/>
      <c r="L19" s="6"/>
      <c r="M19" s="6"/>
      <c r="N19" s="6"/>
      <c r="O19" s="2"/>
    </row>
    <row r="20" spans="2:15" ht="15.45" x14ac:dyDescent="0.4">
      <c r="B20" s="20"/>
      <c r="C20" s="20"/>
      <c r="D20" s="20"/>
      <c r="E20" s="20"/>
      <c r="F20" s="20"/>
      <c r="G20" s="21"/>
      <c r="H20" s="21"/>
      <c r="I20" s="20"/>
      <c r="J20" s="3"/>
      <c r="K20" s="6"/>
      <c r="L20" s="2"/>
      <c r="M20" s="2"/>
      <c r="N20" s="2"/>
      <c r="O20" s="2"/>
    </row>
    <row r="21" spans="2:15" ht="15.45" x14ac:dyDescent="0.4">
      <c r="B21" s="106" t="s">
        <v>91</v>
      </c>
      <c r="C21" s="20"/>
      <c r="D21" s="20"/>
      <c r="E21" s="20"/>
      <c r="F21" s="20"/>
      <c r="G21" s="21" t="s">
        <v>1</v>
      </c>
      <c r="H21" s="21"/>
      <c r="I21" s="107">
        <f>I6</f>
        <v>25</v>
      </c>
      <c r="J21" s="3"/>
      <c r="K21" s="7"/>
      <c r="L21" s="2"/>
      <c r="M21" s="2"/>
      <c r="N21" s="2"/>
      <c r="O21" s="2"/>
    </row>
    <row r="22" spans="2:15" ht="15.45" x14ac:dyDescent="0.4">
      <c r="B22" s="20"/>
      <c r="C22" s="20"/>
      <c r="D22" s="20"/>
      <c r="E22" s="20"/>
      <c r="F22" s="20"/>
      <c r="G22" s="21"/>
      <c r="H22" s="21"/>
      <c r="I22" s="21"/>
      <c r="J22" s="3"/>
      <c r="K22" s="6"/>
      <c r="L22" s="2"/>
      <c r="M22" s="2"/>
      <c r="N22" s="2"/>
      <c r="O22" s="2"/>
    </row>
    <row r="23" spans="2:15" ht="15.45" x14ac:dyDescent="0.4">
      <c r="B23" s="27" t="s">
        <v>100</v>
      </c>
      <c r="C23" s="20"/>
      <c r="D23" s="20"/>
      <c r="E23" s="20"/>
      <c r="F23" s="20"/>
      <c r="G23" s="21" t="s">
        <v>3</v>
      </c>
      <c r="H23" s="21"/>
      <c r="I23" s="24">
        <v>2</v>
      </c>
      <c r="J23" s="20" t="s">
        <v>21</v>
      </c>
      <c r="K23" s="6"/>
      <c r="L23" s="2"/>
      <c r="M23" s="2"/>
      <c r="N23" s="2"/>
      <c r="O23" s="2"/>
    </row>
    <row r="24" spans="2:15" ht="15.45" x14ac:dyDescent="0.4">
      <c r="B24" s="111" t="s">
        <v>101</v>
      </c>
      <c r="C24" s="20"/>
      <c r="D24" s="20"/>
      <c r="E24" s="20"/>
      <c r="F24" s="27" t="s">
        <v>99</v>
      </c>
      <c r="G24" s="21" t="s">
        <v>3</v>
      </c>
      <c r="H24" s="20"/>
      <c r="I24" s="112">
        <f>I23+I7</f>
        <v>87</v>
      </c>
      <c r="J24" s="20" t="s">
        <v>21</v>
      </c>
      <c r="K24" s="2"/>
      <c r="L24" s="2"/>
      <c r="M24" s="2"/>
      <c r="N24" s="2"/>
      <c r="O24" s="2"/>
    </row>
    <row r="25" spans="2:15" ht="15.45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"/>
      <c r="L25" s="2"/>
      <c r="M25" s="2"/>
      <c r="N25" s="2"/>
      <c r="O25" s="2"/>
    </row>
    <row r="26" spans="2:15" ht="15.45" x14ac:dyDescent="0.4">
      <c r="B26" s="3" t="s">
        <v>14</v>
      </c>
      <c r="C26" s="3"/>
      <c r="D26" s="3"/>
      <c r="E26" s="3"/>
      <c r="F26" s="3"/>
      <c r="G26" s="3"/>
      <c r="H26" s="3"/>
      <c r="I26" s="3"/>
      <c r="J26" s="3"/>
      <c r="K26" s="6"/>
      <c r="L26" s="6"/>
      <c r="M26" s="6"/>
      <c r="N26" s="6"/>
      <c r="O26" s="2"/>
    </row>
    <row r="27" spans="2:15" ht="15.45" x14ac:dyDescent="0.4">
      <c r="B27" s="3" t="s">
        <v>15</v>
      </c>
      <c r="C27" s="3"/>
      <c r="D27" s="3"/>
      <c r="E27" s="3"/>
      <c r="F27" s="3"/>
      <c r="G27" s="137" t="s">
        <v>10</v>
      </c>
      <c r="H27" s="137"/>
      <c r="I27" s="29">
        <f>I19/I21</f>
        <v>2.6</v>
      </c>
      <c r="J27" s="29"/>
      <c r="K27" s="7"/>
      <c r="L27" s="2"/>
      <c r="M27" s="2"/>
      <c r="N27" s="2"/>
      <c r="O27" s="2"/>
    </row>
    <row r="28" spans="2:15" ht="15.45" x14ac:dyDescent="0.4">
      <c r="B28" s="23" t="s">
        <v>16</v>
      </c>
      <c r="C28" s="23"/>
      <c r="D28" s="23"/>
      <c r="E28" s="23"/>
      <c r="F28" s="23"/>
      <c r="G28" s="28" t="s">
        <v>10</v>
      </c>
      <c r="H28" s="28"/>
      <c r="I28" s="30">
        <f>((I8*I10*0.01)*I23*0.01)</f>
        <v>18.63</v>
      </c>
      <c r="J28" s="29"/>
      <c r="K28" s="7"/>
      <c r="L28" s="6"/>
      <c r="M28" s="6"/>
      <c r="N28" s="6"/>
      <c r="O28" s="2"/>
    </row>
    <row r="29" spans="2:15" ht="15.45" x14ac:dyDescent="0.4">
      <c r="B29" s="23"/>
      <c r="C29" s="23"/>
      <c r="D29" s="23"/>
      <c r="E29" s="23" t="s">
        <v>19</v>
      </c>
      <c r="F29" s="23"/>
      <c r="G29" s="28" t="s">
        <v>20</v>
      </c>
      <c r="H29" s="28"/>
      <c r="I29" s="30"/>
      <c r="J29" s="29"/>
    </row>
    <row r="30" spans="2:15" ht="15.45" x14ac:dyDescent="0.4">
      <c r="B30" s="281" t="s">
        <v>97</v>
      </c>
      <c r="C30" s="282"/>
      <c r="D30" s="282"/>
      <c r="E30" s="31">
        <f>I28</f>
        <v>18.63</v>
      </c>
      <c r="F30" s="113" t="s">
        <v>102</v>
      </c>
      <c r="G30" s="31">
        <f>I27</f>
        <v>2.6</v>
      </c>
      <c r="H30" s="109"/>
      <c r="I30" s="30" t="s">
        <v>23</v>
      </c>
      <c r="J30" s="20"/>
      <c r="K30" s="279" t="s">
        <v>103</v>
      </c>
      <c r="L30" s="280"/>
      <c r="M30" s="280"/>
      <c r="N30" s="280"/>
      <c r="O30" s="280"/>
    </row>
    <row r="31" spans="2:15" ht="15.45" x14ac:dyDescent="0.4">
      <c r="C31" s="33"/>
      <c r="D31" s="33"/>
      <c r="E31" s="31"/>
      <c r="F31" s="281" t="s">
        <v>104</v>
      </c>
      <c r="G31" s="289"/>
      <c r="H31" s="289"/>
      <c r="I31" s="32">
        <f>E30/G30</f>
        <v>7.1653846153846148</v>
      </c>
      <c r="J31" s="20"/>
      <c r="K31" s="17" t="s">
        <v>96</v>
      </c>
      <c r="L31" s="18"/>
      <c r="M31" s="18"/>
      <c r="N31" s="2"/>
      <c r="O31" s="2"/>
    </row>
    <row r="32" spans="2:15" ht="15.45" x14ac:dyDescent="0.4">
      <c r="B32" s="19" t="s">
        <v>106</v>
      </c>
      <c r="C32" s="33"/>
      <c r="D32" s="20"/>
      <c r="E32" s="20"/>
      <c r="F32" s="20"/>
      <c r="G32" s="20"/>
      <c r="H32" s="109"/>
      <c r="I32" s="34"/>
      <c r="J32" s="20"/>
      <c r="K32" s="2"/>
      <c r="M32" s="2"/>
      <c r="N32" s="2"/>
      <c r="O32" s="2"/>
    </row>
    <row r="33" spans="2:15" ht="8.15" customHeight="1" x14ac:dyDescent="0.4">
      <c r="B33" s="20" t="s">
        <v>25</v>
      </c>
      <c r="C33" s="3"/>
      <c r="D33" s="3"/>
      <c r="E33" s="3"/>
      <c r="F33" s="3"/>
      <c r="G33" s="3"/>
      <c r="H33" s="3"/>
      <c r="I33" s="3"/>
      <c r="J33" s="3"/>
      <c r="K33" s="6"/>
      <c r="L33" s="6"/>
      <c r="M33" s="6"/>
      <c r="N33" s="6"/>
      <c r="O33" s="2"/>
    </row>
    <row r="34" spans="2:15" ht="15.45" x14ac:dyDescent="0.4">
      <c r="B34" s="3" t="s">
        <v>98</v>
      </c>
      <c r="C34" s="3"/>
      <c r="D34" s="3"/>
      <c r="E34" s="3"/>
      <c r="F34" s="3"/>
      <c r="G34" s="3"/>
      <c r="H34" s="3"/>
      <c r="I34" s="3"/>
      <c r="J34" s="3"/>
      <c r="K34" s="6"/>
      <c r="L34" s="6"/>
      <c r="M34" s="6"/>
      <c r="N34" s="6"/>
      <c r="O34" s="2"/>
    </row>
    <row r="35" spans="2:15" ht="15.45" x14ac:dyDescent="0.4">
      <c r="B35" s="20"/>
      <c r="C35" s="20"/>
      <c r="D35" s="20"/>
      <c r="E35" s="20"/>
      <c r="F35" s="20"/>
      <c r="G35" s="20"/>
      <c r="H35" s="20"/>
      <c r="I35" s="20"/>
      <c r="J35" s="20"/>
      <c r="K35" s="2"/>
      <c r="L35" s="2"/>
      <c r="M35" s="2"/>
      <c r="N35" s="2"/>
      <c r="O35" s="2"/>
    </row>
    <row r="36" spans="2:15" ht="15.45" x14ac:dyDescent="0.4">
      <c r="B36" s="20" t="s">
        <v>17</v>
      </c>
      <c r="C36" s="20"/>
      <c r="D36" s="25">
        <v>5</v>
      </c>
      <c r="E36" s="139" t="s">
        <v>156</v>
      </c>
      <c r="F36" s="33"/>
      <c r="G36" s="33"/>
      <c r="H36" s="20"/>
      <c r="I36" s="20"/>
      <c r="J36" s="20"/>
      <c r="K36" s="2"/>
      <c r="L36" s="2"/>
      <c r="M36" s="2"/>
      <c r="N36" s="2"/>
      <c r="O36" s="2"/>
    </row>
    <row r="37" spans="2:15" ht="15.45" x14ac:dyDescent="0.4">
      <c r="B37" s="20" t="s">
        <v>24</v>
      </c>
      <c r="C37" s="28"/>
      <c r="D37" s="20"/>
      <c r="E37" s="35">
        <f>I23</f>
        <v>2</v>
      </c>
      <c r="F37" s="20" t="s">
        <v>21</v>
      </c>
      <c r="G37" s="20"/>
      <c r="H37" s="20"/>
      <c r="I37" s="20"/>
      <c r="J37" s="20"/>
      <c r="K37" s="2"/>
      <c r="L37" s="2"/>
      <c r="M37" s="2"/>
      <c r="N37" s="2"/>
      <c r="O37" s="2"/>
    </row>
    <row r="38" spans="2:15" ht="15.9" thickBot="1" x14ac:dyDescent="0.45">
      <c r="B38" s="36"/>
      <c r="D38" s="285" t="s">
        <v>18</v>
      </c>
      <c r="E38" s="286"/>
      <c r="F38" s="286"/>
      <c r="G38" s="286"/>
      <c r="H38" s="286"/>
      <c r="I38" s="105"/>
      <c r="J38" s="105"/>
      <c r="K38" s="15"/>
      <c r="L38" s="15"/>
      <c r="M38" s="15"/>
      <c r="N38" s="15"/>
      <c r="O38" s="2"/>
    </row>
    <row r="39" spans="2:15" ht="15.9" thickBot="1" x14ac:dyDescent="0.45">
      <c r="B39" s="42" t="s">
        <v>26</v>
      </c>
      <c r="D39" s="114">
        <f>I15</f>
        <v>50</v>
      </c>
      <c r="E39" s="43">
        <f>D39+$D$36</f>
        <v>55</v>
      </c>
      <c r="F39" s="43">
        <f>E39+$D$36</f>
        <v>60</v>
      </c>
      <c r="G39" s="43">
        <f>F39+$D$36</f>
        <v>65</v>
      </c>
      <c r="H39" s="43">
        <f>G39+$D$36</f>
        <v>70</v>
      </c>
      <c r="I39" s="104"/>
      <c r="J39" s="104"/>
      <c r="K39" s="13"/>
      <c r="L39" s="13"/>
      <c r="M39" s="13"/>
      <c r="N39" s="13"/>
      <c r="O39" s="2"/>
    </row>
    <row r="40" spans="2:15" ht="8.15" customHeight="1" x14ac:dyDescent="0.4">
      <c r="B40" s="37"/>
      <c r="D40" s="38"/>
      <c r="E40" s="38"/>
      <c r="F40" s="38"/>
      <c r="G40" s="38"/>
      <c r="H40" s="38"/>
      <c r="I40" s="39"/>
      <c r="J40" s="39"/>
      <c r="K40" s="13"/>
      <c r="L40" s="13"/>
      <c r="M40" s="13"/>
      <c r="N40" s="13"/>
      <c r="O40" s="2"/>
    </row>
    <row r="41" spans="2:15" ht="15.45" x14ac:dyDescent="0.4">
      <c r="B41" s="140" t="s">
        <v>22</v>
      </c>
      <c r="D41" s="38">
        <f>(D39+$I$17)</f>
        <v>60</v>
      </c>
      <c r="E41" s="38">
        <f>(E39+$I$17)</f>
        <v>65</v>
      </c>
      <c r="F41" s="38">
        <f>(F39+$I$17)</f>
        <v>70</v>
      </c>
      <c r="G41" s="38">
        <f>(G39+$I$17)</f>
        <v>75</v>
      </c>
      <c r="H41" s="38">
        <f>(H39+$I$17)</f>
        <v>80</v>
      </c>
      <c r="I41" s="39"/>
      <c r="J41" s="39"/>
      <c r="K41" s="13"/>
      <c r="L41" s="13"/>
      <c r="M41" s="13"/>
      <c r="N41" s="13"/>
      <c r="O41" s="2"/>
    </row>
    <row r="42" spans="2:15" ht="15.45" x14ac:dyDescent="0.4">
      <c r="B42" s="290" t="s">
        <v>157</v>
      </c>
      <c r="C42" s="291"/>
      <c r="D42" s="38">
        <f>D41/$I$21</f>
        <v>2.4</v>
      </c>
      <c r="E42" s="38">
        <f>E41/$I$21</f>
        <v>2.6</v>
      </c>
      <c r="F42" s="38">
        <f>F41/$I$21</f>
        <v>2.8</v>
      </c>
      <c r="G42" s="38">
        <f>G41/$I$21</f>
        <v>3</v>
      </c>
      <c r="H42" s="38">
        <f>H41/$I$21</f>
        <v>3.2</v>
      </c>
      <c r="I42" s="39"/>
      <c r="J42" s="39"/>
      <c r="K42" s="13"/>
      <c r="L42" s="13"/>
      <c r="M42" s="13"/>
      <c r="N42" s="13"/>
      <c r="O42" s="2"/>
    </row>
    <row r="43" spans="2:15" ht="15.45" x14ac:dyDescent="0.4">
      <c r="B43" s="140" t="s">
        <v>158</v>
      </c>
      <c r="D43" s="38">
        <f>I28</f>
        <v>18.63</v>
      </c>
      <c r="E43" s="38">
        <f>$D$43</f>
        <v>18.63</v>
      </c>
      <c r="F43" s="38">
        <f>$D$43</f>
        <v>18.63</v>
      </c>
      <c r="G43" s="38">
        <f>$D$43</f>
        <v>18.63</v>
      </c>
      <c r="H43" s="38">
        <f>$D$43</f>
        <v>18.63</v>
      </c>
      <c r="I43" s="39"/>
      <c r="J43" s="39"/>
      <c r="K43" s="13"/>
      <c r="L43" s="13"/>
      <c r="M43" s="13"/>
      <c r="N43" s="13"/>
      <c r="O43" s="2"/>
    </row>
    <row r="44" spans="2:15" ht="8.15" customHeight="1" x14ac:dyDescent="0.4">
      <c r="B44" s="37"/>
      <c r="D44" s="38"/>
      <c r="E44" s="38"/>
      <c r="F44" s="38"/>
      <c r="G44" s="38"/>
      <c r="H44" s="38"/>
      <c r="I44" s="39"/>
      <c r="J44" s="39"/>
      <c r="K44" s="13"/>
      <c r="L44" s="13"/>
      <c r="M44" s="13"/>
      <c r="N44" s="13"/>
      <c r="O44" s="2"/>
    </row>
    <row r="45" spans="2:15" ht="15.9" thickBot="1" x14ac:dyDescent="0.45">
      <c r="B45" s="40" t="s">
        <v>89</v>
      </c>
      <c r="D45" s="110">
        <f>D43/D42</f>
        <v>7.7625000000000002</v>
      </c>
      <c r="E45" s="110">
        <f>E43/E42</f>
        <v>7.1653846153846148</v>
      </c>
      <c r="F45" s="110">
        <f>F43/F42</f>
        <v>6.6535714285714285</v>
      </c>
      <c r="G45" s="110">
        <f>G43/G42</f>
        <v>6.21</v>
      </c>
      <c r="H45" s="110">
        <f>H43/H42</f>
        <v>5.8218749999999995</v>
      </c>
      <c r="I45" s="41"/>
      <c r="J45" s="41"/>
      <c r="K45" s="2"/>
      <c r="N45" s="14"/>
    </row>
    <row r="46" spans="2:15" ht="15.45" x14ac:dyDescent="0.4">
      <c r="B46" s="40"/>
      <c r="D46" s="41"/>
      <c r="E46" s="41"/>
      <c r="F46" s="41"/>
      <c r="G46" s="41"/>
      <c r="H46" s="41"/>
      <c r="I46" s="41"/>
      <c r="J46" s="41"/>
      <c r="K46" s="2"/>
      <c r="N46" s="14"/>
    </row>
    <row r="47" spans="2:15" x14ac:dyDescent="0.4">
      <c r="B47" s="287" t="s">
        <v>106</v>
      </c>
      <c r="C47" s="288"/>
      <c r="D47" s="288"/>
      <c r="E47" s="288"/>
      <c r="F47" s="288"/>
      <c r="G47" s="288"/>
      <c r="H47" s="2"/>
      <c r="I47" s="2"/>
      <c r="J47" s="2"/>
      <c r="K47" s="2"/>
      <c r="L47" s="2"/>
      <c r="M47" s="2"/>
      <c r="N47" s="2"/>
      <c r="O47" s="9"/>
    </row>
    <row r="48" spans="2:15" x14ac:dyDescent="0.4">
      <c r="B48" s="8"/>
      <c r="G48" s="2"/>
      <c r="H48" s="2"/>
      <c r="I48" s="2"/>
      <c r="J48" s="2"/>
      <c r="K48" s="2"/>
      <c r="L48" s="2"/>
      <c r="M48" s="2"/>
      <c r="N48" s="2"/>
      <c r="O48" s="9"/>
    </row>
    <row r="49" spans="2:15" ht="17.600000000000001" x14ac:dyDescent="0.6">
      <c r="B49" s="27" t="s">
        <v>88</v>
      </c>
      <c r="C49" s="2"/>
      <c r="D49" s="2"/>
      <c r="E49" s="50">
        <f>'7. Bull Ownership Cost'!E16</f>
        <v>2137.44</v>
      </c>
      <c r="F49" s="138" t="s">
        <v>154</v>
      </c>
      <c r="G49" s="2"/>
      <c r="H49" s="2"/>
      <c r="J49" s="2"/>
      <c r="K49" s="2"/>
      <c r="L49" s="2"/>
      <c r="M49" s="2"/>
      <c r="N49" s="2"/>
      <c r="O49" s="9"/>
    </row>
    <row r="50" spans="2:15" ht="15.45" x14ac:dyDescent="0.4">
      <c r="B50" s="284" t="s">
        <v>93</v>
      </c>
      <c r="C50" s="280"/>
      <c r="D50" s="280"/>
      <c r="E50" s="280"/>
      <c r="F50" s="264"/>
      <c r="G50" s="264"/>
      <c r="H50" s="5"/>
      <c r="I50" s="2"/>
      <c r="J50" s="2"/>
      <c r="K50" s="2"/>
      <c r="L50" s="2"/>
      <c r="M50" s="2"/>
      <c r="N50" s="2"/>
      <c r="O50" s="2"/>
    </row>
    <row r="51" spans="2:15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x14ac:dyDescent="0.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x14ac:dyDescent="0.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61" spans="2:15" x14ac:dyDescent="0.4">
      <c r="I61" s="16"/>
    </row>
  </sheetData>
  <sheetProtection sheet="1" objects="1" scenarios="1"/>
  <mergeCells count="9">
    <mergeCell ref="K30:O30"/>
    <mergeCell ref="B30:D30"/>
    <mergeCell ref="B1:I1"/>
    <mergeCell ref="B2:I2"/>
    <mergeCell ref="B50:G50"/>
    <mergeCell ref="D38:H38"/>
    <mergeCell ref="B47:G47"/>
    <mergeCell ref="F31:H31"/>
    <mergeCell ref="B42:C42"/>
  </mergeCells>
  <pageMargins left="0.95" right="0.45" top="0.75" bottom="0.75" header="0.3" footer="0.3"/>
  <pageSetup scale="83" orientation="portrait" horizontalDpi="4294967295" verticalDpi="4294967295" r:id="rId1"/>
  <headerFooter>
    <oddFooter>&amp;L&amp;F&amp;R&amp;A</oddFooter>
  </headerFooter>
  <ignoredErrors>
    <ignoredError sqref="I1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63"/>
  <sheetViews>
    <sheetView topLeftCell="A7" zoomScaleNormal="100" workbookViewId="0">
      <selection activeCell="E5" sqref="E5"/>
    </sheetView>
  </sheetViews>
  <sheetFormatPr defaultRowHeight="14.6" x14ac:dyDescent="0.4"/>
  <cols>
    <col min="1" max="1" width="4.3046875" customWidth="1"/>
    <col min="2" max="2" width="23.15234375" customWidth="1"/>
    <col min="3" max="3" width="10.84375" customWidth="1"/>
    <col min="4" max="4" width="10.69140625" customWidth="1"/>
    <col min="5" max="5" width="10.53515625" customWidth="1"/>
    <col min="6" max="6" width="10.84375" customWidth="1"/>
    <col min="7" max="7" width="10.53515625" customWidth="1"/>
    <col min="8" max="8" width="10.15234375" customWidth="1"/>
    <col min="9" max="9" width="13.3828125" customWidth="1"/>
  </cols>
  <sheetData>
    <row r="1" spans="2:11" ht="17.600000000000001" x14ac:dyDescent="0.4">
      <c r="B1" s="295" t="s">
        <v>27</v>
      </c>
      <c r="C1" s="260"/>
      <c r="D1" s="260"/>
      <c r="E1" s="260"/>
      <c r="F1" s="260"/>
      <c r="G1" s="260"/>
      <c r="H1" s="260"/>
      <c r="I1" s="260"/>
      <c r="J1" s="12"/>
      <c r="K1" s="44"/>
    </row>
    <row r="2" spans="2:11" ht="71.150000000000006" x14ac:dyDescent="0.4">
      <c r="B2" s="51" t="s">
        <v>28</v>
      </c>
      <c r="E2" s="52" t="s">
        <v>29</v>
      </c>
      <c r="F2" s="52" t="s">
        <v>30</v>
      </c>
      <c r="G2" s="52" t="s">
        <v>31</v>
      </c>
      <c r="H2" s="52" t="s">
        <v>32</v>
      </c>
      <c r="I2" s="52" t="s">
        <v>33</v>
      </c>
    </row>
    <row r="3" spans="2:11" x14ac:dyDescent="0.4">
      <c r="B3" s="94" t="s">
        <v>34</v>
      </c>
      <c r="E3" s="53">
        <v>800</v>
      </c>
      <c r="F3" s="54"/>
      <c r="G3" s="55">
        <f>E3/$H$15</f>
        <v>32</v>
      </c>
      <c r="H3" s="98">
        <f>G3/$E$28*100</f>
        <v>6.9716775599128544</v>
      </c>
      <c r="I3" s="94"/>
    </row>
    <row r="4" spans="2:11" x14ac:dyDescent="0.4">
      <c r="B4" s="146" t="s">
        <v>163</v>
      </c>
      <c r="E4" s="53">
        <v>23</v>
      </c>
      <c r="F4" s="54"/>
      <c r="G4" s="55">
        <f>E4/$H$15</f>
        <v>0.92</v>
      </c>
      <c r="H4" s="98">
        <f>G4/$E$28*100</f>
        <v>0.20043572984749458</v>
      </c>
      <c r="I4" s="94"/>
    </row>
    <row r="5" spans="2:11" x14ac:dyDescent="0.4">
      <c r="B5" s="48" t="s">
        <v>236</v>
      </c>
      <c r="E5" s="194">
        <f>'6. Benefit-Cost of BSE'!I19</f>
        <v>65</v>
      </c>
      <c r="F5" s="54"/>
      <c r="G5" s="55">
        <f>E5/$H$15</f>
        <v>2.6</v>
      </c>
      <c r="H5" s="98">
        <f>G5/$E$28*100</f>
        <v>0.56644880174291945</v>
      </c>
      <c r="I5" s="94"/>
    </row>
    <row r="6" spans="2:11" x14ac:dyDescent="0.4">
      <c r="B6" s="94" t="s">
        <v>35</v>
      </c>
      <c r="E6" s="95">
        <f>(SUM(E3:E5)*0.5*E23*0.01)</f>
        <v>26.64</v>
      </c>
      <c r="F6" s="45"/>
      <c r="G6" s="55">
        <f>E6/$H$15</f>
        <v>1.0656000000000001</v>
      </c>
      <c r="H6" s="98">
        <f>G6/$E$28*100</f>
        <v>0.23215686274509806</v>
      </c>
      <c r="I6" s="94"/>
    </row>
    <row r="7" spans="2:11" x14ac:dyDescent="0.4">
      <c r="B7" s="51" t="s">
        <v>36</v>
      </c>
      <c r="E7" s="49">
        <f>SUM(E3:E6)</f>
        <v>914.64</v>
      </c>
      <c r="F7" s="57"/>
      <c r="G7" s="58">
        <f>E7/$H$15</f>
        <v>36.585599999999999</v>
      </c>
      <c r="H7" s="58">
        <f>G7/$E$28*100</f>
        <v>7.9707189542483654</v>
      </c>
      <c r="I7" s="59">
        <f>E7/E16</f>
        <v>0.42791376600044911</v>
      </c>
    </row>
    <row r="8" spans="2:11" x14ac:dyDescent="0.4">
      <c r="B8" s="51"/>
      <c r="E8" s="60"/>
      <c r="F8" s="54"/>
      <c r="G8" s="55"/>
      <c r="H8" s="45"/>
    </row>
    <row r="9" spans="2:11" x14ac:dyDescent="0.4">
      <c r="B9" s="51" t="s">
        <v>37</v>
      </c>
    </row>
    <row r="10" spans="2:11" x14ac:dyDescent="0.4">
      <c r="B10" s="94" t="s">
        <v>38</v>
      </c>
      <c r="E10" s="60">
        <f>(G19-G22)/G20</f>
        <v>935</v>
      </c>
      <c r="F10" s="54"/>
      <c r="G10" s="55">
        <f>E10/$H$15</f>
        <v>37.4</v>
      </c>
      <c r="H10" s="98">
        <f>G10/$E$28*100</f>
        <v>8.148148148148147</v>
      </c>
    </row>
    <row r="11" spans="2:11" x14ac:dyDescent="0.4">
      <c r="B11" s="94" t="s">
        <v>39</v>
      </c>
      <c r="E11" s="95">
        <f>F24*E23*0.01</f>
        <v>187.8</v>
      </c>
      <c r="F11" s="45"/>
      <c r="G11" s="55">
        <f>E11/$H$15</f>
        <v>7.5120000000000005</v>
      </c>
      <c r="H11" s="98">
        <f>G11/$E$28*100</f>
        <v>1.6366013071895427</v>
      </c>
    </row>
    <row r="12" spans="2:11" x14ac:dyDescent="0.4">
      <c r="B12" s="94" t="s">
        <v>40</v>
      </c>
      <c r="D12" s="61">
        <v>2</v>
      </c>
      <c r="E12" s="60">
        <f>G19*D12*0.01</f>
        <v>100</v>
      </c>
      <c r="F12" s="54"/>
      <c r="G12" s="55">
        <f>E12/$H$15</f>
        <v>4</v>
      </c>
      <c r="H12" s="98">
        <f>G12/$E$28*100</f>
        <v>0.8714596949891068</v>
      </c>
    </row>
    <row r="13" spans="2:11" x14ac:dyDescent="0.4">
      <c r="B13" s="51" t="s">
        <v>41</v>
      </c>
      <c r="C13" s="51"/>
      <c r="D13" s="51"/>
      <c r="E13" s="49">
        <f>SUM(E10:E12)</f>
        <v>1222.8</v>
      </c>
      <c r="F13" s="51"/>
      <c r="G13" s="58">
        <f>E13/$H$15</f>
        <v>48.911999999999999</v>
      </c>
      <c r="H13" s="58">
        <f>G13/$E$28*100</f>
        <v>10.656209150326797</v>
      </c>
      <c r="I13" s="59">
        <f>E13/E16</f>
        <v>0.57208623399955083</v>
      </c>
    </row>
    <row r="14" spans="2:11" x14ac:dyDescent="0.4">
      <c r="B14" s="51"/>
      <c r="C14" s="51"/>
      <c r="D14" s="51"/>
      <c r="E14" s="49"/>
      <c r="F14" s="51"/>
      <c r="G14" s="58"/>
      <c r="H14" s="58" t="s">
        <v>42</v>
      </c>
      <c r="I14" s="59"/>
    </row>
    <row r="15" spans="2:11" ht="15.45" x14ac:dyDescent="0.4">
      <c r="B15" s="48" t="s">
        <v>43</v>
      </c>
      <c r="D15" s="102">
        <v>1</v>
      </c>
      <c r="E15" s="94" t="s">
        <v>44</v>
      </c>
      <c r="G15" s="143">
        <f>'6. Benefit-Cost of BSE'!I21</f>
        <v>25</v>
      </c>
      <c r="H15" s="62">
        <f>D15*G15</f>
        <v>25</v>
      </c>
      <c r="I15" s="94" t="s">
        <v>45</v>
      </c>
    </row>
    <row r="16" spans="2:11" x14ac:dyDescent="0.4">
      <c r="B16" s="51" t="s">
        <v>46</v>
      </c>
      <c r="E16" s="49">
        <f>E7+E13</f>
        <v>2137.44</v>
      </c>
      <c r="F16" s="94" t="s">
        <v>160</v>
      </c>
      <c r="G16" s="58">
        <f>E16/(G15*D15)</f>
        <v>85.497600000000006</v>
      </c>
      <c r="H16" s="58">
        <f>G16/$E$28*100</f>
        <v>18.626928104575164</v>
      </c>
      <c r="I16" s="63">
        <f>G16/G28</f>
        <v>9.178486312399356E-2</v>
      </c>
      <c r="K16" s="45"/>
    </row>
    <row r="17" spans="2:11" x14ac:dyDescent="0.4">
      <c r="B17" s="51" t="s">
        <v>47</v>
      </c>
      <c r="E17" s="103">
        <f>E16/(H15*E26*0.01)</f>
        <v>100.58541176470588</v>
      </c>
      <c r="F17" s="64">
        <f>H15*G20*E26*0.01</f>
        <v>85</v>
      </c>
      <c r="G17" s="51" t="s">
        <v>48</v>
      </c>
      <c r="K17" s="45"/>
    </row>
    <row r="18" spans="2:11" x14ac:dyDescent="0.4">
      <c r="G18" s="190"/>
    </row>
    <row r="19" spans="2:11" x14ac:dyDescent="0.4">
      <c r="B19" s="94" t="s">
        <v>49</v>
      </c>
      <c r="C19" s="94"/>
      <c r="D19" s="94"/>
      <c r="G19" s="191">
        <f>'2.Cattle Prices-Herd Investment'!C6</f>
        <v>5000</v>
      </c>
      <c r="H19" s="66"/>
    </row>
    <row r="20" spans="2:11" x14ac:dyDescent="0.4">
      <c r="B20" s="94" t="s">
        <v>50</v>
      </c>
      <c r="C20" s="94"/>
      <c r="D20" s="94"/>
      <c r="G20" s="67">
        <v>4</v>
      </c>
    </row>
    <row r="21" spans="2:11" ht="15.45" x14ac:dyDescent="0.4">
      <c r="B21" s="94"/>
      <c r="C21" s="94"/>
      <c r="D21" s="94"/>
      <c r="E21" s="99" t="s">
        <v>51</v>
      </c>
      <c r="F21" s="141" t="s">
        <v>159</v>
      </c>
      <c r="G21" s="142" t="s">
        <v>52</v>
      </c>
      <c r="H21" s="12"/>
    </row>
    <row r="22" spans="2:11" x14ac:dyDescent="0.4">
      <c r="B22" s="94" t="s">
        <v>53</v>
      </c>
      <c r="C22" s="94"/>
      <c r="D22" s="94"/>
      <c r="E22" s="186">
        <f>'2.Cattle Prices-Herd Investment'!D6</f>
        <v>1800</v>
      </c>
      <c r="F22" s="187">
        <f>'2.Cattle Prices-Herd Investment'!E6</f>
        <v>70</v>
      </c>
      <c r="G22" s="93">
        <f>E22*F22*0.01</f>
        <v>1260</v>
      </c>
      <c r="H22" s="56"/>
    </row>
    <row r="23" spans="2:11" x14ac:dyDescent="0.4">
      <c r="B23" s="94" t="s">
        <v>54</v>
      </c>
      <c r="C23" s="94"/>
      <c r="D23" s="94"/>
      <c r="E23" s="61">
        <v>6</v>
      </c>
      <c r="F23" t="s">
        <v>21</v>
      </c>
    </row>
    <row r="24" spans="2:11" x14ac:dyDescent="0.4">
      <c r="B24" s="94" t="s">
        <v>55</v>
      </c>
      <c r="C24" s="94"/>
      <c r="D24" s="94"/>
      <c r="F24" s="95">
        <f>(G19+G22)/2</f>
        <v>3130</v>
      </c>
    </row>
    <row r="25" spans="2:11" x14ac:dyDescent="0.4">
      <c r="B25" s="68" t="s">
        <v>56</v>
      </c>
      <c r="F25" s="56"/>
    </row>
    <row r="26" spans="2:11" x14ac:dyDescent="0.4">
      <c r="B26" s="48" t="s">
        <v>57</v>
      </c>
      <c r="E26" s="192">
        <f>'6. Benefit-Cost of BSE'!I7</f>
        <v>85</v>
      </c>
      <c r="F26" t="s">
        <v>21</v>
      </c>
      <c r="G26" s="51" t="s">
        <v>58</v>
      </c>
      <c r="H26" s="51"/>
    </row>
    <row r="27" spans="2:11" ht="15.45" x14ac:dyDescent="0.4">
      <c r="B27" s="144" t="s">
        <v>92</v>
      </c>
      <c r="E27" s="188">
        <f>'2.Cattle Prices-Herd Investment'!D12</f>
        <v>540</v>
      </c>
      <c r="F27" s="189" t="s">
        <v>59</v>
      </c>
      <c r="G27" s="187">
        <f>'2.Cattle Prices-Herd Investment'!E12</f>
        <v>172.5</v>
      </c>
      <c r="H27" s="99" t="s">
        <v>8</v>
      </c>
      <c r="I27" s="69" t="s">
        <v>60</v>
      </c>
    </row>
    <row r="28" spans="2:11" x14ac:dyDescent="0.4">
      <c r="B28" s="51" t="s">
        <v>61</v>
      </c>
      <c r="E28" s="64">
        <f>E26*E27*0.01</f>
        <v>459</v>
      </c>
      <c r="F28" s="51" t="s">
        <v>59</v>
      </c>
      <c r="G28" s="70">
        <f>E27*G27*0.01</f>
        <v>931.5</v>
      </c>
      <c r="H28" s="99" t="s">
        <v>10</v>
      </c>
      <c r="I28" s="69" t="s">
        <v>62</v>
      </c>
    </row>
    <row r="29" spans="2:11" x14ac:dyDescent="0.4">
      <c r="E29" s="71"/>
      <c r="F29" s="51" t="s">
        <v>63</v>
      </c>
      <c r="I29" s="72">
        <f>G19/G28</f>
        <v>5.3676865271068168</v>
      </c>
    </row>
    <row r="30" spans="2:11" x14ac:dyDescent="0.4">
      <c r="B30" s="73" t="s">
        <v>64</v>
      </c>
      <c r="G30" s="56"/>
      <c r="H30" s="56"/>
      <c r="I30" s="74"/>
    </row>
    <row r="31" spans="2:11" x14ac:dyDescent="0.4">
      <c r="B31" s="294" t="s">
        <v>65</v>
      </c>
      <c r="C31" s="294"/>
      <c r="D31" s="294"/>
      <c r="E31" s="294"/>
      <c r="F31" s="294"/>
      <c r="G31" s="294"/>
      <c r="H31" s="260"/>
      <c r="I31" s="260"/>
    </row>
    <row r="32" spans="2:11" ht="71.150000000000006" x14ac:dyDescent="0.4">
      <c r="E32" s="52" t="s">
        <v>66</v>
      </c>
      <c r="F32" s="52" t="s">
        <v>67</v>
      </c>
      <c r="G32" s="52" t="s">
        <v>68</v>
      </c>
      <c r="H32" s="52" t="s">
        <v>69</v>
      </c>
      <c r="I32" s="52" t="s">
        <v>70</v>
      </c>
    </row>
    <row r="33" spans="2:11" ht="15.45" x14ac:dyDescent="0.4">
      <c r="E33" s="142" t="s">
        <v>71</v>
      </c>
      <c r="F33" s="142" t="s">
        <v>8</v>
      </c>
      <c r="G33" s="142" t="s">
        <v>71</v>
      </c>
      <c r="H33" s="142" t="s">
        <v>59</v>
      </c>
      <c r="I33" s="142" t="s">
        <v>71</v>
      </c>
    </row>
    <row r="34" spans="2:11" ht="15.45" x14ac:dyDescent="0.4">
      <c r="B34" s="75" t="s">
        <v>72</v>
      </c>
      <c r="C34" s="65">
        <v>500</v>
      </c>
      <c r="D34" s="76" t="s">
        <v>73</v>
      </c>
      <c r="E34" s="77"/>
      <c r="G34" s="77"/>
      <c r="H34" s="77"/>
      <c r="I34" s="65">
        <v>750</v>
      </c>
      <c r="J34" s="47"/>
      <c r="K34" s="47"/>
    </row>
    <row r="35" spans="2:11" ht="15.45" x14ac:dyDescent="0.4">
      <c r="B35" s="75" t="s">
        <v>74</v>
      </c>
      <c r="C35" s="93">
        <f>G27</f>
        <v>172.5</v>
      </c>
      <c r="D35" s="76" t="s">
        <v>75</v>
      </c>
      <c r="E35" s="77"/>
      <c r="F35" s="94"/>
      <c r="G35" s="58"/>
      <c r="H35" s="77"/>
      <c r="I35" s="69" t="s">
        <v>76</v>
      </c>
      <c r="J35" s="46"/>
      <c r="K35" s="47"/>
    </row>
    <row r="36" spans="2:11" x14ac:dyDescent="0.4">
      <c r="C36" s="94"/>
      <c r="D36" s="78"/>
      <c r="E36" s="94"/>
      <c r="F36" s="94"/>
      <c r="G36" s="94"/>
      <c r="H36" s="94"/>
      <c r="I36" s="69" t="s">
        <v>77</v>
      </c>
    </row>
    <row r="37" spans="2:11" x14ac:dyDescent="0.4">
      <c r="B37" s="94" t="s">
        <v>78</v>
      </c>
      <c r="C37" s="95">
        <f>$C38-$C$34</f>
        <v>3500</v>
      </c>
      <c r="D37" s="94"/>
      <c r="E37" s="79">
        <f t="shared" ref="E37:E43" si="0">((($C37+$G$22)/2)*$E$23*0.01+$D$12*0.01*$C37+$E$7+($C37-$G$22)/$G$20)/$H$15</f>
        <v>67.497600000000006</v>
      </c>
      <c r="F37" s="55">
        <f t="shared" ref="F37:F43" si="1">E37/$E$28*100</f>
        <v>14.705359477124183</v>
      </c>
      <c r="G37" s="55">
        <f>E37-E40</f>
        <v>-18</v>
      </c>
      <c r="H37" s="80">
        <f>G37/($G$27*0.01)</f>
        <v>-10.434782608695652</v>
      </c>
      <c r="I37" s="97">
        <f>E37/$I$34</f>
        <v>8.9996800000000002E-2</v>
      </c>
      <c r="J37" s="94"/>
      <c r="K37" s="45"/>
    </row>
    <row r="38" spans="2:11" x14ac:dyDescent="0.4">
      <c r="B38" s="94"/>
      <c r="C38" s="95">
        <f>$C39-$C$34</f>
        <v>4000</v>
      </c>
      <c r="D38" s="94"/>
      <c r="E38" s="79">
        <f t="shared" si="0"/>
        <v>73.497600000000006</v>
      </c>
      <c r="F38" s="55">
        <f t="shared" si="1"/>
        <v>16.012549019607842</v>
      </c>
      <c r="G38" s="55">
        <f>E38-E40</f>
        <v>-12</v>
      </c>
      <c r="H38" s="80">
        <f>G38/($G$27*0.01)</f>
        <v>-6.9565217391304346</v>
      </c>
      <c r="I38" s="97">
        <f t="shared" ref="I38:I43" si="2">E38/$I$34</f>
        <v>9.7996800000000009E-2</v>
      </c>
      <c r="J38" s="94"/>
      <c r="K38" s="45"/>
    </row>
    <row r="39" spans="2:11" x14ac:dyDescent="0.4">
      <c r="B39" s="94"/>
      <c r="C39" s="95">
        <f>$C40-$C$34</f>
        <v>4500</v>
      </c>
      <c r="D39" s="94"/>
      <c r="E39" s="79">
        <f t="shared" si="0"/>
        <v>79.497600000000006</v>
      </c>
      <c r="F39" s="55">
        <f t="shared" si="1"/>
        <v>17.319738562091505</v>
      </c>
      <c r="G39" s="55">
        <f>E39-E40</f>
        <v>-6</v>
      </c>
      <c r="H39" s="80">
        <f>G39/($G$27*0.01)</f>
        <v>-3.4782608695652173</v>
      </c>
      <c r="I39" s="97">
        <f t="shared" si="2"/>
        <v>0.1059968</v>
      </c>
      <c r="J39" s="94"/>
      <c r="K39" s="45"/>
    </row>
    <row r="40" spans="2:11" x14ac:dyDescent="0.4">
      <c r="B40" s="94" t="s">
        <v>79</v>
      </c>
      <c r="C40" s="81">
        <f>G19</f>
        <v>5000</v>
      </c>
      <c r="D40" s="94"/>
      <c r="E40" s="82">
        <f t="shared" si="0"/>
        <v>85.497600000000006</v>
      </c>
      <c r="F40" s="58">
        <f t="shared" si="1"/>
        <v>18.626928104575164</v>
      </c>
      <c r="G40" s="58"/>
      <c r="H40" s="72"/>
      <c r="I40" s="83">
        <f t="shared" si="2"/>
        <v>0.11399680000000001</v>
      </c>
      <c r="J40" s="94"/>
      <c r="K40" s="45"/>
    </row>
    <row r="41" spans="2:11" x14ac:dyDescent="0.4">
      <c r="B41" s="94"/>
      <c r="C41" s="95">
        <f>$C40+$C$34</f>
        <v>5500</v>
      </c>
      <c r="D41" s="94"/>
      <c r="E41" s="79">
        <f t="shared" si="0"/>
        <v>91.497600000000006</v>
      </c>
      <c r="F41" s="55">
        <f t="shared" si="1"/>
        <v>19.934117647058823</v>
      </c>
      <c r="G41" s="55">
        <f>E41-E40</f>
        <v>6</v>
      </c>
      <c r="H41" s="80">
        <f>G41/($G$27*0.01)</f>
        <v>3.4782608695652173</v>
      </c>
      <c r="I41" s="97">
        <f t="shared" si="2"/>
        <v>0.1219968</v>
      </c>
      <c r="J41" s="94"/>
      <c r="K41" s="45"/>
    </row>
    <row r="42" spans="2:11" x14ac:dyDescent="0.4">
      <c r="B42" s="94"/>
      <c r="C42" s="95">
        <f>$C41+$C$34</f>
        <v>6000</v>
      </c>
      <c r="D42" s="94"/>
      <c r="E42" s="79">
        <f t="shared" si="0"/>
        <v>97.497600000000006</v>
      </c>
      <c r="F42" s="55">
        <f t="shared" si="1"/>
        <v>21.241307189542486</v>
      </c>
      <c r="G42" s="55">
        <f>E42-E40</f>
        <v>12</v>
      </c>
      <c r="H42" s="80">
        <f>G42/($G$27*0.01)</f>
        <v>6.9565217391304346</v>
      </c>
      <c r="I42" s="97">
        <f t="shared" si="2"/>
        <v>0.1299968</v>
      </c>
      <c r="J42" s="94"/>
      <c r="K42" s="45"/>
    </row>
    <row r="43" spans="2:11" x14ac:dyDescent="0.4">
      <c r="B43" s="94"/>
      <c r="C43" s="95">
        <f>$C42+$C$34</f>
        <v>6500</v>
      </c>
      <c r="D43" s="94"/>
      <c r="E43" s="79">
        <f t="shared" si="0"/>
        <v>103.49760000000001</v>
      </c>
      <c r="F43" s="55">
        <f t="shared" si="1"/>
        <v>22.548496732026145</v>
      </c>
      <c r="G43" s="55">
        <f>E43-E40</f>
        <v>18</v>
      </c>
      <c r="H43" s="80">
        <f>G43/($G$27*0.01)</f>
        <v>10.434782608695652</v>
      </c>
      <c r="I43" s="97">
        <f t="shared" si="2"/>
        <v>0.1379968</v>
      </c>
      <c r="J43" s="94"/>
      <c r="K43" s="45"/>
    </row>
    <row r="44" spans="2:11" x14ac:dyDescent="0.4">
      <c r="B44" s="48" t="s">
        <v>80</v>
      </c>
      <c r="C44" s="95"/>
      <c r="D44" s="94"/>
      <c r="E44" s="84"/>
      <c r="F44" s="58"/>
      <c r="G44" s="94"/>
      <c r="H44" s="94"/>
      <c r="I44" s="94"/>
      <c r="J44" s="46"/>
    </row>
    <row r="45" spans="2:11" x14ac:dyDescent="0.4">
      <c r="B45" s="94"/>
      <c r="C45" s="95"/>
      <c r="D45" s="94"/>
      <c r="E45" s="84"/>
      <c r="F45" s="58"/>
      <c r="G45" s="72"/>
      <c r="H45" s="94"/>
      <c r="I45" s="94"/>
      <c r="J45" s="94"/>
    </row>
    <row r="46" spans="2:11" x14ac:dyDescent="0.4">
      <c r="B46" s="94" t="s">
        <v>81</v>
      </c>
      <c r="C46" s="85" t="s">
        <v>82</v>
      </c>
      <c r="D46" s="86"/>
      <c r="E46" s="86"/>
      <c r="F46" s="86"/>
      <c r="G46" s="87"/>
      <c r="H46" s="94"/>
      <c r="I46" s="94"/>
      <c r="J46" s="94"/>
    </row>
    <row r="47" spans="2:11" x14ac:dyDescent="0.4">
      <c r="B47" s="73" t="s">
        <v>64</v>
      </c>
      <c r="C47" s="94"/>
      <c r="D47" s="94"/>
      <c r="E47" s="94"/>
      <c r="F47" s="94"/>
      <c r="G47" s="95"/>
      <c r="H47" s="93"/>
      <c r="I47" s="94"/>
      <c r="J47" s="94"/>
    </row>
    <row r="48" spans="2:11" x14ac:dyDescent="0.4">
      <c r="B48" s="94"/>
      <c r="C48" s="294" t="s">
        <v>83</v>
      </c>
      <c r="D48" s="296"/>
      <c r="E48" s="296"/>
      <c r="F48" s="296"/>
      <c r="G48" s="296"/>
      <c r="H48" s="296"/>
      <c r="I48" s="94"/>
      <c r="J48" s="94"/>
    </row>
    <row r="49" spans="2:10" x14ac:dyDescent="0.4">
      <c r="B49" s="75" t="s">
        <v>84</v>
      </c>
      <c r="C49" s="94"/>
      <c r="D49" s="94"/>
      <c r="E49" s="88">
        <v>5</v>
      </c>
      <c r="F49" s="297" t="s">
        <v>85</v>
      </c>
      <c r="G49" s="288"/>
      <c r="H49" s="288"/>
      <c r="I49" s="93"/>
      <c r="J49" s="94"/>
    </row>
    <row r="50" spans="2:10" x14ac:dyDescent="0.4">
      <c r="B50" s="75"/>
      <c r="C50" s="293" t="s">
        <v>86</v>
      </c>
      <c r="D50" s="294"/>
      <c r="E50" s="294"/>
      <c r="F50" s="294"/>
      <c r="G50" s="294"/>
      <c r="H50" s="294"/>
      <c r="I50" s="93"/>
      <c r="J50" s="94"/>
    </row>
    <row r="51" spans="2:10" x14ac:dyDescent="0.4">
      <c r="B51" s="75" t="s">
        <v>87</v>
      </c>
      <c r="C51" s="89"/>
      <c r="D51" s="90">
        <f>E51-E49</f>
        <v>15</v>
      </c>
      <c r="E51" s="90">
        <f>(F51-E49)</f>
        <v>20</v>
      </c>
      <c r="F51" s="91">
        <f>D15*G15</f>
        <v>25</v>
      </c>
      <c r="G51" s="90">
        <f>(F51+E49)</f>
        <v>30</v>
      </c>
      <c r="H51" s="96">
        <f>G51+E49</f>
        <v>35</v>
      </c>
      <c r="I51" s="93"/>
      <c r="J51" s="94"/>
    </row>
    <row r="52" spans="2:10" x14ac:dyDescent="0.4">
      <c r="B52" s="94"/>
      <c r="C52" s="51" t="s">
        <v>52</v>
      </c>
      <c r="D52" s="78"/>
      <c r="E52" s="94"/>
      <c r="F52" s="92" t="s">
        <v>71</v>
      </c>
      <c r="G52" s="95"/>
      <c r="H52" s="95"/>
      <c r="I52" s="93"/>
      <c r="J52" s="94"/>
    </row>
    <row r="53" spans="2:10" x14ac:dyDescent="0.4">
      <c r="B53" s="94"/>
      <c r="C53" s="95">
        <f>$C54-$C$34</f>
        <v>3500</v>
      </c>
      <c r="D53" s="79">
        <f t="shared" ref="D53:H59" si="3">((($C53+$G$22)/2)*$E$23*0.01+$D$12*0.01*$C53+$E$7+($C53-$G$22)/$G$20)/D$51</f>
        <v>112.49600000000001</v>
      </c>
      <c r="E53" s="79">
        <f t="shared" si="3"/>
        <v>84.372</v>
      </c>
      <c r="F53" s="79">
        <f t="shared" si="3"/>
        <v>67.497600000000006</v>
      </c>
      <c r="G53" s="79">
        <f t="shared" si="3"/>
        <v>56.248000000000005</v>
      </c>
      <c r="H53" s="79">
        <f t="shared" si="3"/>
        <v>48.21257142857143</v>
      </c>
      <c r="I53" s="94"/>
      <c r="J53" s="94"/>
    </row>
    <row r="54" spans="2:10" x14ac:dyDescent="0.4">
      <c r="B54" s="94"/>
      <c r="C54" s="95">
        <f>$C55-$C$34</f>
        <v>4000</v>
      </c>
      <c r="D54" s="79">
        <f t="shared" si="3"/>
        <v>122.49600000000001</v>
      </c>
      <c r="E54" s="79">
        <f t="shared" si="3"/>
        <v>91.872</v>
      </c>
      <c r="F54" s="79">
        <f t="shared" si="3"/>
        <v>73.497600000000006</v>
      </c>
      <c r="G54" s="79">
        <f t="shared" si="3"/>
        <v>61.248000000000005</v>
      </c>
      <c r="H54" s="79">
        <f t="shared" si="3"/>
        <v>52.498285714285714</v>
      </c>
      <c r="I54" s="94"/>
      <c r="J54" s="94"/>
    </row>
    <row r="55" spans="2:10" x14ac:dyDescent="0.4">
      <c r="B55" s="94"/>
      <c r="C55" s="95">
        <f>$C56-$C$34</f>
        <v>4500</v>
      </c>
      <c r="D55" s="79">
        <f t="shared" si="3"/>
        <v>132.49600000000001</v>
      </c>
      <c r="E55" s="79">
        <f t="shared" si="3"/>
        <v>99.372</v>
      </c>
      <c r="F55" s="79">
        <f t="shared" si="3"/>
        <v>79.497600000000006</v>
      </c>
      <c r="G55" s="79">
        <f t="shared" si="3"/>
        <v>66.248000000000005</v>
      </c>
      <c r="H55" s="79">
        <f t="shared" si="3"/>
        <v>56.783999999999999</v>
      </c>
      <c r="I55" s="94"/>
      <c r="J55" s="94"/>
    </row>
    <row r="56" spans="2:10" x14ac:dyDescent="0.4">
      <c r="B56" s="94" t="s">
        <v>79</v>
      </c>
      <c r="C56" s="81">
        <f>G19</f>
        <v>5000</v>
      </c>
      <c r="D56" s="79">
        <f t="shared" si="3"/>
        <v>142.49600000000001</v>
      </c>
      <c r="E56" s="79">
        <f t="shared" si="3"/>
        <v>106.872</v>
      </c>
      <c r="F56" s="82">
        <f t="shared" si="3"/>
        <v>85.497600000000006</v>
      </c>
      <c r="G56" s="79">
        <f t="shared" si="3"/>
        <v>71.248000000000005</v>
      </c>
      <c r="H56" s="79">
        <f t="shared" si="3"/>
        <v>61.069714285714291</v>
      </c>
      <c r="I56" s="94"/>
      <c r="J56" s="93"/>
    </row>
    <row r="57" spans="2:10" x14ac:dyDescent="0.4">
      <c r="B57" s="94"/>
      <c r="C57" s="95">
        <f>$C56+$C$34</f>
        <v>5500</v>
      </c>
      <c r="D57" s="79">
        <f t="shared" si="3"/>
        <v>152.49600000000001</v>
      </c>
      <c r="E57" s="79">
        <f t="shared" si="3"/>
        <v>114.372</v>
      </c>
      <c r="F57" s="79">
        <f t="shared" si="3"/>
        <v>91.497600000000006</v>
      </c>
      <c r="G57" s="79">
        <f t="shared" si="3"/>
        <v>76.248000000000005</v>
      </c>
      <c r="H57" s="79">
        <f t="shared" si="3"/>
        <v>65.355428571428575</v>
      </c>
      <c r="I57" s="94"/>
      <c r="J57" s="94"/>
    </row>
    <row r="58" spans="2:10" x14ac:dyDescent="0.4">
      <c r="B58" s="94"/>
      <c r="C58" s="95">
        <f>$C57+$C$34</f>
        <v>6000</v>
      </c>
      <c r="D58" s="79">
        <f t="shared" si="3"/>
        <v>162.49600000000001</v>
      </c>
      <c r="E58" s="79">
        <f t="shared" si="3"/>
        <v>121.872</v>
      </c>
      <c r="F58" s="79">
        <f t="shared" si="3"/>
        <v>97.497600000000006</v>
      </c>
      <c r="G58" s="79">
        <f t="shared" si="3"/>
        <v>81.248000000000005</v>
      </c>
      <c r="H58" s="79">
        <f t="shared" si="3"/>
        <v>69.641142857142853</v>
      </c>
      <c r="I58" s="94"/>
      <c r="J58" s="94"/>
    </row>
    <row r="59" spans="2:10" x14ac:dyDescent="0.4">
      <c r="B59" s="94"/>
      <c r="C59" s="95">
        <f>$C58+$C$34</f>
        <v>6500</v>
      </c>
      <c r="D59" s="79">
        <f t="shared" si="3"/>
        <v>172.49600000000001</v>
      </c>
      <c r="E59" s="79">
        <f t="shared" si="3"/>
        <v>129.37200000000001</v>
      </c>
      <c r="F59" s="79">
        <f t="shared" si="3"/>
        <v>103.49760000000001</v>
      </c>
      <c r="G59" s="79">
        <f t="shared" si="3"/>
        <v>86.248000000000005</v>
      </c>
      <c r="H59" s="79">
        <f t="shared" si="3"/>
        <v>73.926857142857145</v>
      </c>
      <c r="I59" s="94"/>
      <c r="J59" s="94"/>
    </row>
    <row r="60" spans="2:10" x14ac:dyDescent="0.4">
      <c r="B60" s="73" t="s">
        <v>64</v>
      </c>
      <c r="C60" s="94"/>
      <c r="D60" s="94"/>
      <c r="E60" s="94"/>
      <c r="F60" s="94"/>
      <c r="G60" s="94"/>
      <c r="H60" s="94"/>
      <c r="I60" s="94"/>
      <c r="J60" s="94"/>
    </row>
    <row r="61" spans="2:10" x14ac:dyDescent="0.4">
      <c r="B61" s="48"/>
      <c r="C61" s="94"/>
      <c r="D61" s="94"/>
      <c r="E61" s="94"/>
      <c r="F61" s="94"/>
      <c r="G61" s="94"/>
      <c r="H61" s="94"/>
      <c r="I61" s="94"/>
      <c r="J61" s="94"/>
    </row>
    <row r="62" spans="2:10" x14ac:dyDescent="0.4">
      <c r="B62" s="292"/>
      <c r="C62" s="264"/>
      <c r="D62" s="264"/>
      <c r="E62" s="264"/>
      <c r="F62" s="264"/>
      <c r="G62" s="264"/>
      <c r="H62" s="264"/>
      <c r="I62" s="94"/>
      <c r="J62" s="94"/>
    </row>
    <row r="63" spans="2:10" x14ac:dyDescent="0.4">
      <c r="B63" s="108"/>
    </row>
  </sheetData>
  <sheetProtection sheet="1" objects="1" scenarios="1"/>
  <mergeCells count="6">
    <mergeCell ref="B62:H62"/>
    <mergeCell ref="C50:H50"/>
    <mergeCell ref="B1:I1"/>
    <mergeCell ref="B31:I31"/>
    <mergeCell ref="C48:H48"/>
    <mergeCell ref="F49:H49"/>
  </mergeCells>
  <pageMargins left="0.95" right="0.45" top="0.75" bottom="0.75" header="0.3" footer="0.3"/>
  <pageSetup scale="69" orientation="portrait" r:id="rId1"/>
  <headerFooter>
    <oddFooter>&amp;L&amp;F&amp;R&amp;A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1. Select Herd Health Costs</vt:lpstr>
      <vt:lpstr>2.Cattle Prices-Herd Investment</vt:lpstr>
      <vt:lpstr>3.Pregnancy Testing Economics</vt:lpstr>
      <vt:lpstr>4.Delayed Pregancy Revenue Loss</vt:lpstr>
      <vt:lpstr>5. Cost of Trich Culling</vt:lpstr>
      <vt:lpstr>6. Benefit-Cost of BSE</vt:lpstr>
      <vt:lpstr>7. Bull Ownership Cost</vt:lpstr>
      <vt:lpstr>'1. Select Herd Health Costs'!Print_Area</vt:lpstr>
      <vt:lpstr>'2.Cattle Prices-Herd Investment'!Print_Area</vt:lpstr>
      <vt:lpstr>'3.Pregnancy Testing Economics'!Print_Area</vt:lpstr>
      <vt:lpstr>'4.Delayed Pregancy Revenue Loss'!Print_Area</vt:lpstr>
      <vt:lpstr>'5. Cost of Trich Culling'!Print_Area</vt:lpstr>
      <vt:lpstr>'6. Benefit-Cost of BSE'!Print_Area</vt:lpstr>
      <vt:lpstr>'7. Bull Ownership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jim_000</dc:creator>
  <cp:lastModifiedBy>Jim McGrann</cp:lastModifiedBy>
  <cp:lastPrinted>2019-04-04T14:28:29Z</cp:lastPrinted>
  <dcterms:created xsi:type="dcterms:W3CDTF">2014-11-12T18:41:25Z</dcterms:created>
  <dcterms:modified xsi:type="dcterms:W3CDTF">2019-04-04T15:08:21Z</dcterms:modified>
</cp:coreProperties>
</file>