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F:\Changed B. Replacemennt Heifer Budget\"/>
    </mc:Choice>
  </mc:AlternateContent>
  <xr:revisionPtr revIDLastSave="0" documentId="13_ncr:1_{38B5FFA4-B176-4458-8253-E9FFDF8101E8}" xr6:coauthVersionLast="40" xr6:coauthVersionMax="40" xr10:uidLastSave="{00000000-0000-0000-0000-000000000000}"/>
  <bookViews>
    <workbookView xWindow="197" yWindow="120" windowWidth="13294" windowHeight="9720" tabRatio="1000" xr2:uid="{00000000-000D-0000-FFFF-FFFF00000000}"/>
  </bookViews>
  <sheets>
    <sheet name="1.Replacement Sales Projection" sheetId="17" r:id="rId1"/>
    <sheet name="2. Replacement Sales Results" sheetId="20" r:id="rId2"/>
    <sheet name="3. Freight Cost" sheetId="18" r:id="rId3"/>
    <sheet name="4. Vehicle&amp;Trailer Cost" sheetId="19" r:id="rId4"/>
  </sheets>
  <definedNames>
    <definedName name="_xlnm.Print_Area" localSheetId="0">'1.Replacement Sales Projection'!$B$1:$F$44</definedName>
    <definedName name="_xlnm.Print_Area" localSheetId="1">'2. Replacement Sales Results'!$B$1:$F$49</definedName>
    <definedName name="_xlnm.Print_Area" localSheetId="2">'3. Freight Cost'!$B$1:$E$19</definedName>
    <definedName name="_xlnm.Print_Area" localSheetId="3">'4. Vehicle&amp;Trailer Cost'!$B$1:$G$70</definedName>
  </definedNames>
  <calcPr calcId="181029"/>
</workbook>
</file>

<file path=xl/calcChain.xml><?xml version="1.0" encoding="utf-8"?>
<calcChain xmlns="http://schemas.openxmlformats.org/spreadsheetml/2006/main">
  <c r="F41" i="17" l="1"/>
  <c r="F43" i="20"/>
  <c r="D39" i="20"/>
  <c r="F37" i="20"/>
  <c r="E37" i="20"/>
  <c r="D36" i="20"/>
  <c r="E33" i="17" l="1"/>
  <c r="E32" i="17"/>
  <c r="E31" i="17"/>
  <c r="E10" i="17" l="1"/>
  <c r="E9" i="17"/>
  <c r="E8" i="17"/>
  <c r="E6" i="17"/>
  <c r="C11" i="17"/>
  <c r="I41" i="20" l="1"/>
  <c r="F35" i="20"/>
  <c r="E35" i="20"/>
  <c r="F34" i="20"/>
  <c r="E34" i="20"/>
  <c r="F33" i="20"/>
  <c r="E33" i="20"/>
  <c r="C20" i="20"/>
  <c r="E20" i="20" s="1"/>
  <c r="B20" i="20"/>
  <c r="C19" i="20"/>
  <c r="E19" i="20" s="1"/>
  <c r="B19" i="20"/>
  <c r="C18" i="20"/>
  <c r="E18" i="20" s="1"/>
  <c r="B18" i="20"/>
  <c r="C17" i="20"/>
  <c r="B17" i="20"/>
  <c r="C16" i="20"/>
  <c r="B16" i="20"/>
  <c r="D13" i="20"/>
  <c r="D43" i="20" s="1"/>
  <c r="C18" i="17"/>
  <c r="D18" i="17" s="1"/>
  <c r="C17" i="17"/>
  <c r="D17" i="17" s="1"/>
  <c r="C16" i="17"/>
  <c r="D16" i="17" s="1"/>
  <c r="C15" i="17"/>
  <c r="C14" i="17"/>
  <c r="B18" i="17"/>
  <c r="B17" i="17"/>
  <c r="B16" i="17"/>
  <c r="B14" i="17"/>
  <c r="E36" i="20" l="1"/>
  <c r="E30" i="20"/>
  <c r="E12" i="20"/>
  <c r="E38" i="20"/>
  <c r="E11" i="20"/>
  <c r="E8" i="20"/>
  <c r="C21" i="20"/>
  <c r="J41" i="20" s="1"/>
  <c r="C19" i="17"/>
  <c r="D46" i="20"/>
  <c r="E9" i="20"/>
  <c r="E28" i="20"/>
  <c r="E32" i="20"/>
  <c r="E10" i="20"/>
  <c r="E39" i="20"/>
  <c r="D47" i="20"/>
  <c r="E27" i="20"/>
  <c r="E29" i="20"/>
  <c r="E31" i="20"/>
  <c r="E25" i="20"/>
  <c r="B15" i="17"/>
  <c r="E28" i="17" l="1"/>
  <c r="E29" i="17"/>
  <c r="D48" i="20"/>
  <c r="E30" i="17"/>
  <c r="E26" i="17"/>
  <c r="E25" i="17"/>
  <c r="E34" i="17"/>
  <c r="E27" i="17"/>
  <c r="C13" i="20"/>
  <c r="F36" i="20" l="1"/>
  <c r="F48" i="20"/>
  <c r="F46" i="20"/>
  <c r="F47" i="20"/>
  <c r="F38" i="20"/>
  <c r="F30" i="20"/>
  <c r="F31" i="20"/>
  <c r="F29" i="20"/>
  <c r="F27" i="20"/>
  <c r="F25" i="20"/>
  <c r="E13" i="20"/>
  <c r="F32" i="20"/>
  <c r="F28" i="20"/>
  <c r="D26" i="20"/>
  <c r="F38" i="19"/>
  <c r="E38" i="19"/>
  <c r="F37" i="19"/>
  <c r="E37" i="19"/>
  <c r="F36" i="19"/>
  <c r="E36" i="19"/>
  <c r="G36" i="19" s="1"/>
  <c r="F35" i="19"/>
  <c r="G35" i="19" s="1"/>
  <c r="E35" i="19"/>
  <c r="F29" i="19"/>
  <c r="E29" i="19"/>
  <c r="G29" i="19" s="1"/>
  <c r="G28" i="19"/>
  <c r="F28" i="19"/>
  <c r="E28" i="19"/>
  <c r="F27" i="19"/>
  <c r="F31" i="19" s="1"/>
  <c r="F32" i="19" s="1"/>
  <c r="E27" i="19"/>
  <c r="F14" i="19"/>
  <c r="F13" i="19"/>
  <c r="G3" i="19"/>
  <c r="D20" i="20" l="1"/>
  <c r="D16" i="20"/>
  <c r="D19" i="20"/>
  <c r="D18" i="20"/>
  <c r="D17" i="20"/>
  <c r="E17" i="20" s="1"/>
  <c r="F39" i="20"/>
  <c r="E31" i="19"/>
  <c r="E32" i="19" s="1"/>
  <c r="E43" i="19" s="1"/>
  <c r="F40" i="19"/>
  <c r="F41" i="19" s="1"/>
  <c r="F43" i="19" s="1"/>
  <c r="G37" i="19"/>
  <c r="E40" i="19"/>
  <c r="E41" i="19" s="1"/>
  <c r="G38" i="19"/>
  <c r="E47" i="19"/>
  <c r="G32" i="19"/>
  <c r="F47" i="19"/>
  <c r="F46" i="19" s="1"/>
  <c r="F44" i="19"/>
  <c r="G27" i="19"/>
  <c r="G31" i="19" s="1"/>
  <c r="D21" i="20" l="1"/>
  <c r="E21" i="20" s="1"/>
  <c r="E16" i="20"/>
  <c r="G40" i="19"/>
  <c r="E64" i="19" s="1"/>
  <c r="F64" i="19" s="1"/>
  <c r="E44" i="19"/>
  <c r="G44" i="19" s="1"/>
  <c r="G41" i="19"/>
  <c r="G43" i="19"/>
  <c r="E63" i="19"/>
  <c r="G47" i="19"/>
  <c r="E46" i="19"/>
  <c r="G46" i="19" s="1"/>
  <c r="E67" i="19" s="1"/>
  <c r="F67" i="19" s="1"/>
  <c r="F63" i="19" l="1"/>
  <c r="F65" i="19" s="1"/>
  <c r="E65" i="19"/>
  <c r="B17" i="18" l="1"/>
  <c r="D13" i="18"/>
  <c r="D6" i="18"/>
  <c r="D8" i="18" s="1"/>
  <c r="D15" i="18" l="1"/>
  <c r="F33" i="17" l="1"/>
  <c r="F32" i="17"/>
  <c r="F31" i="17"/>
  <c r="E38" i="17" l="1"/>
  <c r="E7" i="17" l="1"/>
  <c r="E11" i="17" s="1"/>
  <c r="E23" i="17" s="1"/>
  <c r="D23" i="17" l="1"/>
  <c r="D35" i="17" s="1"/>
  <c r="E35" i="17"/>
  <c r="F29" i="17" s="1"/>
  <c r="E41" i="17"/>
  <c r="D11" i="17"/>
  <c r="F38" i="17" l="1"/>
  <c r="F28" i="17"/>
  <c r="F23" i="17"/>
  <c r="I40" i="17"/>
  <c r="J40" i="17" s="1"/>
  <c r="F26" i="17"/>
  <c r="F25" i="17"/>
  <c r="F34" i="17"/>
  <c r="E42" i="17"/>
  <c r="F35" i="17"/>
  <c r="F30" i="17"/>
  <c r="F27" i="17"/>
  <c r="E43" i="17" l="1"/>
  <c r="F43" i="17" s="1"/>
  <c r="F42" i="17"/>
  <c r="E16" i="17"/>
  <c r="E15" i="17"/>
  <c r="D15" i="17" s="1"/>
  <c r="E18" i="17"/>
  <c r="E17" i="17"/>
  <c r="E14" i="17"/>
  <c r="D14" i="17"/>
  <c r="E19" i="17" l="1"/>
  <c r="D19" i="17" s="1"/>
</calcChain>
</file>

<file path=xl/sharedStrings.xml><?xml version="1.0" encoding="utf-8"?>
<sst xmlns="http://schemas.openxmlformats.org/spreadsheetml/2006/main" count="316" uniqueCount="156">
  <si>
    <t>$/Head</t>
  </si>
  <si>
    <t>Head</t>
  </si>
  <si>
    <t>Total</t>
  </si>
  <si>
    <t>Commission</t>
  </si>
  <si>
    <t>Marketing Costs</t>
  </si>
  <si>
    <t>Insurance</t>
  </si>
  <si>
    <t>Brand Inspection</t>
  </si>
  <si>
    <t>Chute Charge</t>
  </si>
  <si>
    <t>Beef Promotion</t>
  </si>
  <si>
    <t>Other</t>
  </si>
  <si>
    <t xml:space="preserve">  Head</t>
  </si>
  <si>
    <t>Sales Date</t>
  </si>
  <si>
    <t>Report Date</t>
  </si>
  <si>
    <t xml:space="preserve">Gross </t>
  </si>
  <si>
    <t>Income</t>
  </si>
  <si>
    <t xml:space="preserve">Marketing Costs </t>
  </si>
  <si>
    <t>Gross Income</t>
  </si>
  <si>
    <t>Freight Cost Calculator for Cattle</t>
  </si>
  <si>
    <t>Pickup and Trailer Cost (see Pickup and Trailer Cost Calculator)</t>
  </si>
  <si>
    <t>Miles Round Trip</t>
  </si>
  <si>
    <t>Cost mile</t>
  </si>
  <si>
    <t>Total Per Load</t>
  </si>
  <si>
    <t xml:space="preserve">Weight/Head </t>
  </si>
  <si>
    <t># Head/Load</t>
  </si>
  <si>
    <t>Total Per Head</t>
  </si>
  <si>
    <t>Contracted Freight Cost Calculator</t>
  </si>
  <si>
    <t>Miles Shipped</t>
  </si>
  <si>
    <t>Cost/Loaded mile</t>
  </si>
  <si>
    <t>Pounds load</t>
  </si>
  <si>
    <t xml:space="preserve">Description of the Auction </t>
  </si>
  <si>
    <t>Dol.</t>
  </si>
  <si>
    <t>Gross Income &amp; Averages</t>
  </si>
  <si>
    <t>PICKUP AND TRAILER COST ANALYSIS</t>
  </si>
  <si>
    <t>Description</t>
  </si>
  <si>
    <t xml:space="preserve"> West TX Pickup and Trailer</t>
  </si>
  <si>
    <t xml:space="preserve">Date </t>
  </si>
  <si>
    <t>Pickup</t>
  </si>
  <si>
    <t>Trailer</t>
  </si>
  <si>
    <t>Input Data</t>
  </si>
  <si>
    <t>Units</t>
  </si>
  <si>
    <t>Values</t>
  </si>
  <si>
    <t>-</t>
  </si>
  <si>
    <t xml:space="preserve"> -------</t>
  </si>
  <si>
    <t xml:space="preserve"> ------------------</t>
  </si>
  <si>
    <t>Current Value</t>
  </si>
  <si>
    <t>$</t>
  </si>
  <si>
    <t>Enter zero if not pulling trailer</t>
  </si>
  <si>
    <t>Total Miles Used (useful life)</t>
  </si>
  <si>
    <t>Mile</t>
  </si>
  <si>
    <t>Current Mileage</t>
  </si>
  <si>
    <t>Salvage Value (trade or junk)</t>
  </si>
  <si>
    <t>Annual Miles of Use</t>
  </si>
  <si>
    <t>Fuel Use (miles per gallon)</t>
  </si>
  <si>
    <t>Gal.</t>
  </si>
  <si>
    <t>Cost of Fuel</t>
  </si>
  <si>
    <t>$/Gal.</t>
  </si>
  <si>
    <t>Decision aid uses mileage with trailer if the trailer is included.</t>
  </si>
  <si>
    <t>Interest Rate on Capital</t>
  </si>
  <si>
    <t>%</t>
  </si>
  <si>
    <t>Monthly Loan Payments (if made)</t>
  </si>
  <si>
    <t>Annual License &amp; Tax</t>
  </si>
  <si>
    <t>Annual Insurance Cost</t>
  </si>
  <si>
    <t>Tire Cost (per set)</t>
  </si>
  <si>
    <t>Tire Life in Miles</t>
  </si>
  <si>
    <t>Annual Repair &amp; Maintenance Cost</t>
  </si>
  <si>
    <t>=</t>
  </si>
  <si>
    <t>Per Mile and Annual Costs</t>
  </si>
  <si>
    <t>Combined</t>
  </si>
  <si>
    <t>Cost Components</t>
  </si>
  <si>
    <t>Costs</t>
  </si>
  <si>
    <t xml:space="preserve"> -----------------</t>
  </si>
  <si>
    <t>Operating or Variable Cost</t>
  </si>
  <si>
    <t xml:space="preserve">    Fuel</t>
  </si>
  <si>
    <t>$/Mi.</t>
  </si>
  <si>
    <t xml:space="preserve">    Tires</t>
  </si>
  <si>
    <t xml:space="preserve">    Repair &amp; Maintenance</t>
  </si>
  <si>
    <t xml:space="preserve"> -----------</t>
  </si>
  <si>
    <t>Total Oper. or Variable Cost</t>
  </si>
  <si>
    <t>Annual Oper. or Variable Cost</t>
  </si>
  <si>
    <t>Fixed Costs</t>
  </si>
  <si>
    <t xml:space="preserve">   License / Tax</t>
  </si>
  <si>
    <t xml:space="preserve">   Insurance</t>
  </si>
  <si>
    <t xml:space="preserve">   Interest (non-cash)</t>
  </si>
  <si>
    <t xml:space="preserve">   Depreciation</t>
  </si>
  <si>
    <t>Total Fixed Cost</t>
  </si>
  <si>
    <t>Total Annual Fixed Cost</t>
  </si>
  <si>
    <t>Total Cost per Mile</t>
  </si>
  <si>
    <t>Total Annual Cost</t>
  </si>
  <si>
    <t>Total Cash Costs per Mile *</t>
  </si>
  <si>
    <t>Total Cash Costs *</t>
  </si>
  <si>
    <t/>
  </si>
  <si>
    <t>*Includes loan payment if being made.</t>
  </si>
  <si>
    <t>Calculated Cost For a Trip</t>
  </si>
  <si>
    <t>Value</t>
  </si>
  <si>
    <t xml:space="preserve"> -------------------</t>
  </si>
  <si>
    <t>Total Miles Traveled for Trip</t>
  </si>
  <si>
    <t>Miles</t>
  </si>
  <si>
    <t>Total Driver Labor Required</t>
  </si>
  <si>
    <t>Hr.</t>
  </si>
  <si>
    <t>Driver Labor Cost per Hour</t>
  </si>
  <si>
    <t>$/Hr.</t>
  </si>
  <si>
    <t>Total Additional Labor Required</t>
  </si>
  <si>
    <t>Additional Labor Cost / Hour</t>
  </si>
  <si>
    <t>Total Number Hauled per Trip</t>
  </si>
  <si>
    <t>Per Trip</t>
  </si>
  <si>
    <t>Per Unit Hauled</t>
  </si>
  <si>
    <t>Total Variable Cost</t>
  </si>
  <si>
    <t>Total Cost</t>
  </si>
  <si>
    <t xml:space="preserve"> </t>
  </si>
  <si>
    <t>Total Cash Cost**</t>
  </si>
  <si>
    <t>**Assumes driver and additional labor is a cash cost.</t>
  </si>
  <si>
    <t>Calculated Commission</t>
  </si>
  <si>
    <t>Commission as percent of gross sales income.</t>
  </si>
  <si>
    <t>% of Gross</t>
  </si>
  <si>
    <t>Net After Marketing Cost</t>
  </si>
  <si>
    <t>Net Income &amp; Averages</t>
  </si>
  <si>
    <t xml:space="preserve">Total Marketing Costs </t>
  </si>
  <si>
    <t xml:space="preserve">Net Sales Income </t>
  </si>
  <si>
    <t xml:space="preserve">Total  Marketing Costs </t>
  </si>
  <si>
    <t>Pregnancy Test</t>
  </si>
  <si>
    <t>Open Heifers</t>
  </si>
  <si>
    <t>Bred Heifer</t>
  </si>
  <si>
    <t xml:space="preserve">Breeding Female </t>
  </si>
  <si>
    <t>Breeding Cows</t>
  </si>
  <si>
    <t>Pairs</t>
  </si>
  <si>
    <t>Actual Auction Sales Data</t>
  </si>
  <si>
    <t>Invoice #</t>
  </si>
  <si>
    <t xml:space="preserve">Replacement Female </t>
  </si>
  <si>
    <t>Hauling or Freight</t>
  </si>
  <si>
    <t xml:space="preserve">   % of Market</t>
  </si>
  <si>
    <t xml:space="preserve">          Costs</t>
  </si>
  <si>
    <t>Replacement Females Sales Auction Market Net Sales Projection</t>
  </si>
  <si>
    <t>Non Commission</t>
  </si>
  <si>
    <t xml:space="preserve">      % of Market</t>
  </si>
  <si>
    <t xml:space="preserve">               Costs</t>
  </si>
  <si>
    <t>Dol./Day</t>
  </si>
  <si>
    <t>Replacement Females Auction Market Net Sales Results</t>
  </si>
  <si>
    <t>Actual Sales Invoice Data</t>
  </si>
  <si>
    <t>Subtotal  Auction Costs</t>
  </si>
  <si>
    <t xml:space="preserve">Hired Hauling or Freight </t>
  </si>
  <si>
    <t>Owner Hauling or Freight</t>
  </si>
  <si>
    <t>Summary of Replacement Female Sale</t>
  </si>
  <si>
    <t>Auction %</t>
  </si>
  <si>
    <t>Marketing Costs - Total and Auction %</t>
  </si>
  <si>
    <t>Marketing Cost as Percent of Gross Income</t>
  </si>
  <si>
    <t>Commission charge as percent of gross sales income.</t>
  </si>
  <si>
    <t xml:space="preserve">         Per Head</t>
  </si>
  <si>
    <t>Yardage - one day</t>
  </si>
  <si>
    <t>Owner pays the freight cost to the market</t>
  </si>
  <si>
    <t>Total Marketing Cost</t>
  </si>
  <si>
    <t>Yardage - 1 day</t>
  </si>
  <si>
    <t>Notes</t>
  </si>
  <si>
    <r>
      <t xml:space="preserve">Data is entered in each sheet. All cells in </t>
    </r>
    <r>
      <rPr>
        <b/>
        <sz val="12"/>
        <color rgb="FF0070C0"/>
        <rFont val="Times New Roman"/>
        <family val="1"/>
      </rPr>
      <t>blue</t>
    </r>
    <r>
      <rPr>
        <sz val="12"/>
        <rFont val="Times New Roman"/>
        <family val="1"/>
      </rPr>
      <t xml:space="preserve"> are unprotected and should have values or a zero. The example is only for illustration purpose. It is advisable to save each version by date to the name. Add notes as it helps check back on the basis for the projection</t>
    </r>
  </si>
  <si>
    <t>http://agecoext.tamu.edu/resources/decisionaids/beef/</t>
  </si>
  <si>
    <t>See manual for Pick Up and Trailer for more details,</t>
  </si>
  <si>
    <t>Auction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</si>
</sst>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409]#,##0.00_);[Red]\([$$-409]#,##0.00\)"/>
    <numFmt numFmtId="166" formatCode="[$-409]d\-mmm\-yy;@"/>
    <numFmt numFmtId="167" formatCode="_(* #,##0_);_(* \(#,##0\);_(* &quot;-&quot;??_);_(@_)"/>
    <numFmt numFmtId="168" formatCode="[$$-409]#,##0_);[Red]\([$$-409]#,##0\)"/>
    <numFmt numFmtId="169" formatCode="0.0%"/>
    <numFmt numFmtId="170" formatCode="#,##0.0_);\(#,##0.0\)"/>
    <numFmt numFmtId="171" formatCode="&quot;$&quot;#,##0"/>
    <numFmt numFmtId="172" formatCode="&quot;$&quot;#,##0.000_);\(&quot;$&quot;#,##0.000\)"/>
  </numFmts>
  <fonts count="26" x14ac:knownFonts="1">
    <font>
      <sz val="10"/>
      <name val="Arial"/>
    </font>
    <font>
      <sz val="10"/>
      <name val="Arial"/>
      <family val="2"/>
    </font>
    <font>
      <sz val="12"/>
      <name val="Arial"/>
      <family val="2"/>
    </font>
    <font>
      <b/>
      <sz val="12"/>
      <name val="Arial"/>
      <family val="2"/>
    </font>
    <font>
      <sz val="12"/>
      <name val="Arial"/>
      <family val="2"/>
    </font>
    <font>
      <sz val="12"/>
      <color indexed="12"/>
      <name val="Arial"/>
      <family val="2"/>
    </font>
    <font>
      <sz val="12"/>
      <color indexed="39"/>
      <name val="Arial"/>
      <family val="2"/>
    </font>
    <font>
      <sz val="12"/>
      <color indexed="39"/>
      <name val="Arial"/>
      <family val="2"/>
    </font>
    <font>
      <b/>
      <sz val="12"/>
      <name val="Arial"/>
      <family val="2"/>
    </font>
    <font>
      <b/>
      <sz val="16"/>
      <name val="Arial"/>
      <family val="2"/>
    </font>
    <font>
      <sz val="12"/>
      <color rgb="FF0000FF"/>
      <name val="Arial"/>
      <family val="2"/>
    </font>
    <font>
      <b/>
      <sz val="12"/>
      <color rgb="FF0000FF"/>
      <name val="Arial"/>
      <family val="2"/>
    </font>
    <font>
      <sz val="11"/>
      <name val="Arial"/>
      <family val="2"/>
    </font>
    <font>
      <b/>
      <sz val="14"/>
      <name val="Arial"/>
      <family val="2"/>
    </font>
    <font>
      <b/>
      <sz val="11"/>
      <color rgb="FF0000FF"/>
      <name val="Arial"/>
      <family val="2"/>
    </font>
    <font>
      <sz val="10"/>
      <color rgb="FF0000FF"/>
      <name val="Arial"/>
      <family val="2"/>
    </font>
    <font>
      <b/>
      <sz val="12"/>
      <color theme="1"/>
      <name val="Arial"/>
      <family val="2"/>
    </font>
    <font>
      <b/>
      <sz val="11"/>
      <name val="Arial"/>
      <family val="2"/>
    </font>
    <font>
      <b/>
      <sz val="14"/>
      <color indexed="8"/>
      <name val="Arial"/>
      <family val="2"/>
    </font>
    <font>
      <sz val="10"/>
      <name val="Arial"/>
      <family val="2"/>
    </font>
    <font>
      <sz val="11"/>
      <color indexed="39"/>
      <name val="Arial"/>
      <family val="2"/>
    </font>
    <font>
      <b/>
      <sz val="10"/>
      <name val="Arial"/>
      <family val="2"/>
    </font>
    <font>
      <sz val="11"/>
      <color rgb="FF0000FF"/>
      <name val="Arial"/>
      <family val="2"/>
    </font>
    <font>
      <sz val="12"/>
      <name val="Times New Roman"/>
      <family val="1"/>
    </font>
    <font>
      <b/>
      <sz val="12"/>
      <color rgb="FF0070C0"/>
      <name val="Times New Roman"/>
      <family val="1"/>
    </font>
    <font>
      <sz val="12"/>
      <color rgb="FF0000FF"/>
      <name val="Times New Roman"/>
      <family val="1"/>
    </font>
  </fonts>
  <fills count="4">
    <fill>
      <patternFill patternType="none"/>
    </fill>
    <fill>
      <patternFill patternType="gray125"/>
    </fill>
    <fill>
      <patternFill patternType="solid">
        <fgColor rgb="FFCCFFCC"/>
        <bgColor indexed="64"/>
      </patternFill>
    </fill>
    <fill>
      <patternFill patternType="solid">
        <fgColor indexed="9"/>
      </patternFill>
    </fill>
  </fills>
  <borders count="2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style="thick">
        <color auto="1"/>
      </left>
      <right/>
      <top style="thick">
        <color auto="1"/>
      </top>
      <bottom/>
      <diagonal/>
    </border>
    <border>
      <left/>
      <right/>
      <top style="thick">
        <color auto="1"/>
      </top>
      <bottom/>
      <diagonal/>
    </border>
    <border>
      <left style="thick">
        <color auto="1"/>
      </left>
      <right style="thick">
        <color auto="1"/>
      </right>
      <top style="thick">
        <color auto="1"/>
      </top>
      <bottom style="thick">
        <color auto="1"/>
      </bottom>
      <diagonal/>
    </border>
    <border>
      <left/>
      <right style="thick">
        <color auto="1"/>
      </right>
      <top style="thick">
        <color auto="1"/>
      </top>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style="thick">
        <color auto="1"/>
      </left>
      <right/>
      <top/>
      <bottom/>
      <diagonal/>
    </border>
    <border>
      <left style="thick">
        <color auto="1"/>
      </left>
      <right/>
      <top/>
      <bottom style="thick">
        <color auto="1"/>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2" fontId="2" fillId="3" borderId="0"/>
  </cellStyleXfs>
  <cellXfs count="140">
    <xf numFmtId="0" fontId="0" fillId="0" borderId="0" xfId="0"/>
    <xf numFmtId="0" fontId="2" fillId="0" borderId="0" xfId="0" applyFont="1"/>
    <xf numFmtId="0" fontId="3" fillId="0" borderId="0" xfId="0" applyFont="1"/>
    <xf numFmtId="0" fontId="4" fillId="0" borderId="0" xfId="0" applyFont="1"/>
    <xf numFmtId="0" fontId="2" fillId="0" borderId="0" xfId="0" applyFont="1" applyAlignment="1">
      <alignment horizontal="center"/>
    </xf>
    <xf numFmtId="165" fontId="8" fillId="0" borderId="0" xfId="0" applyNumberFormat="1" applyFont="1"/>
    <xf numFmtId="165" fontId="3" fillId="0" borderId="0" xfId="0" applyNumberFormat="1" applyFont="1"/>
    <xf numFmtId="0" fontId="9" fillId="0" borderId="0" xfId="0" applyFont="1"/>
    <xf numFmtId="0" fontId="8" fillId="0" borderId="0" xfId="0" applyFont="1"/>
    <xf numFmtId="0" fontId="8" fillId="0" borderId="0" xfId="0" applyFont="1" applyAlignment="1">
      <alignment horizontal="center"/>
    </xf>
    <xf numFmtId="44" fontId="8" fillId="0" borderId="0" xfId="2" applyFont="1" applyAlignment="1">
      <alignment horizontal="center"/>
    </xf>
    <xf numFmtId="165" fontId="8" fillId="0" borderId="0" xfId="2" applyNumberFormat="1" applyFont="1" applyAlignment="1">
      <alignment horizontal="right"/>
    </xf>
    <xf numFmtId="165" fontId="5" fillId="0" borderId="1" xfId="0" applyNumberFormat="1" applyFont="1" applyBorder="1" applyProtection="1">
      <protection locked="0"/>
    </xf>
    <xf numFmtId="165" fontId="3" fillId="0" borderId="0" xfId="0" applyNumberFormat="1" applyFont="1" applyBorder="1" applyProtection="1"/>
    <xf numFmtId="0" fontId="7" fillId="0" borderId="0" xfId="0" applyFont="1" applyAlignment="1" applyProtection="1">
      <protection locked="0"/>
    </xf>
    <xf numFmtId="164" fontId="2" fillId="0" borderId="0" xfId="0" applyNumberFormat="1" applyFont="1"/>
    <xf numFmtId="0" fontId="3" fillId="0" borderId="0" xfId="0" applyFont="1" applyFill="1" applyBorder="1"/>
    <xf numFmtId="165" fontId="4" fillId="0" borderId="0" xfId="0" applyNumberFormat="1" applyFont="1"/>
    <xf numFmtId="166" fontId="7" fillId="0" borderId="2" xfId="0" applyNumberFormat="1" applyFont="1" applyBorder="1" applyAlignment="1" applyProtection="1">
      <protection locked="0"/>
    </xf>
    <xf numFmtId="168" fontId="10" fillId="0" borderId="0" xfId="0" applyNumberFormat="1" applyFont="1" applyProtection="1">
      <protection locked="0"/>
    </xf>
    <xf numFmtId="164" fontId="4" fillId="0" borderId="0" xfId="0" applyNumberFormat="1" applyFont="1"/>
    <xf numFmtId="14" fontId="4" fillId="0" borderId="0" xfId="0" applyNumberFormat="1" applyFont="1" applyAlignment="1">
      <alignment horizontal="left"/>
    </xf>
    <xf numFmtId="164" fontId="4" fillId="0" borderId="0" xfId="0" applyNumberFormat="1" applyFont="1" applyAlignment="1">
      <alignment horizontal="center"/>
    </xf>
    <xf numFmtId="166" fontId="11" fillId="0" borderId="3" xfId="0" applyNumberFormat="1" applyFont="1" applyBorder="1" applyProtection="1">
      <protection locked="0"/>
    </xf>
    <xf numFmtId="168" fontId="6" fillId="0" borderId="0" xfId="0" applyNumberFormat="1" applyFont="1" applyProtection="1">
      <protection locked="0"/>
    </xf>
    <xf numFmtId="168" fontId="6" fillId="0" borderId="0" xfId="0" applyNumberFormat="1" applyFont="1" applyBorder="1" applyProtection="1">
      <protection locked="0"/>
    </xf>
    <xf numFmtId="0" fontId="10" fillId="0" borderId="0" xfId="0" applyFont="1" applyProtection="1">
      <protection locked="0"/>
    </xf>
    <xf numFmtId="0" fontId="0" fillId="0" borderId="0" xfId="0" applyBorder="1" applyAlignment="1">
      <alignment horizontal="left"/>
    </xf>
    <xf numFmtId="0" fontId="3" fillId="2" borderId="0" xfId="0" applyFont="1" applyFill="1"/>
    <xf numFmtId="38" fontId="3" fillId="0" borderId="0" xfId="0" applyNumberFormat="1" applyFont="1" applyBorder="1" applyProtection="1"/>
    <xf numFmtId="165" fontId="3" fillId="0" borderId="0" xfId="2" applyNumberFormat="1" applyFont="1" applyAlignment="1">
      <alignment horizontal="right"/>
    </xf>
    <xf numFmtId="165" fontId="3" fillId="0" borderId="0" xfId="0" applyNumberFormat="1" applyFont="1" applyAlignment="1">
      <alignment horizontal="right"/>
    </xf>
    <xf numFmtId="0" fontId="3" fillId="0" borderId="0" xfId="0" applyFont="1" applyAlignment="1">
      <alignment horizontal="right"/>
    </xf>
    <xf numFmtId="1" fontId="3" fillId="0" borderId="0" xfId="0" applyNumberFormat="1" applyFont="1"/>
    <xf numFmtId="0" fontId="4" fillId="0" borderId="0" xfId="0" applyFont="1" applyAlignment="1">
      <alignment horizontal="center"/>
    </xf>
    <xf numFmtId="0" fontId="14" fillId="0" borderId="0" xfId="0" applyFont="1" applyProtection="1">
      <protection locked="0"/>
    </xf>
    <xf numFmtId="165"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pplyProtection="1">
      <alignment horizontal="right"/>
      <protection locked="0"/>
    </xf>
    <xf numFmtId="0" fontId="3" fillId="0" borderId="0" xfId="0" applyFont="1" applyBorder="1" applyAlignment="1" applyProtection="1">
      <alignment horizontal="right"/>
      <protection locked="0"/>
    </xf>
    <xf numFmtId="169" fontId="4" fillId="0" borderId="0" xfId="3" applyNumberFormat="1" applyFont="1"/>
    <xf numFmtId="44" fontId="3" fillId="0" borderId="0" xfId="2" applyFont="1" applyAlignment="1">
      <alignment horizontal="center"/>
    </xf>
    <xf numFmtId="10" fontId="3" fillId="0" borderId="0" xfId="3" applyNumberFormat="1" applyFont="1" applyBorder="1" applyProtection="1"/>
    <xf numFmtId="0" fontId="14" fillId="0" borderId="5" xfId="0" applyFont="1" applyBorder="1" applyProtection="1">
      <protection locked="0"/>
    </xf>
    <xf numFmtId="0" fontId="10" fillId="0" borderId="0" xfId="0" applyFont="1" applyBorder="1" applyAlignment="1" applyProtection="1">
      <alignment horizontal="left"/>
      <protection locked="0"/>
    </xf>
    <xf numFmtId="0" fontId="15" fillId="0" borderId="0" xfId="0" applyFont="1" applyBorder="1" applyAlignment="1" applyProtection="1">
      <alignment horizontal="left"/>
      <protection locked="0"/>
    </xf>
    <xf numFmtId="0" fontId="4" fillId="0" borderId="8" xfId="0" applyFont="1" applyBorder="1"/>
    <xf numFmtId="0" fontId="4" fillId="0" borderId="9" xfId="0" applyFont="1" applyBorder="1"/>
    <xf numFmtId="167" fontId="10" fillId="0" borderId="10" xfId="0" applyNumberFormat="1" applyFont="1" applyBorder="1" applyProtection="1">
      <protection locked="0"/>
    </xf>
    <xf numFmtId="0" fontId="4" fillId="0" borderId="11" xfId="0" applyFont="1" applyBorder="1"/>
    <xf numFmtId="7" fontId="10" fillId="0" borderId="10" xfId="0" applyNumberFormat="1" applyFont="1" applyBorder="1" applyProtection="1">
      <protection locked="0"/>
    </xf>
    <xf numFmtId="0" fontId="4" fillId="0" borderId="0" xfId="0" applyFont="1" applyBorder="1"/>
    <xf numFmtId="6" fontId="4" fillId="0" borderId="0" xfId="0" applyNumberFormat="1" applyFont="1" applyBorder="1"/>
    <xf numFmtId="0" fontId="4" fillId="0" borderId="12" xfId="0" applyFont="1" applyBorder="1"/>
    <xf numFmtId="0" fontId="4" fillId="0" borderId="13" xfId="0" applyFont="1" applyBorder="1"/>
    <xf numFmtId="8" fontId="4" fillId="0" borderId="13" xfId="0" applyNumberFormat="1" applyFont="1" applyBorder="1"/>
    <xf numFmtId="0" fontId="4" fillId="0" borderId="14" xfId="0" applyFont="1" applyBorder="1"/>
    <xf numFmtId="7" fontId="4" fillId="0" borderId="15" xfId="0" applyNumberFormat="1" applyFont="1" applyBorder="1"/>
    <xf numFmtId="8" fontId="4" fillId="0" borderId="0" xfId="0" applyNumberFormat="1" applyFont="1" applyBorder="1"/>
    <xf numFmtId="1" fontId="4" fillId="0" borderId="16" xfId="0" applyNumberFormat="1" applyFont="1" applyBorder="1"/>
    <xf numFmtId="1" fontId="10" fillId="0" borderId="4" xfId="0" applyNumberFormat="1" applyFont="1" applyBorder="1" applyAlignment="1" applyProtection="1">
      <alignment horizontal="right"/>
      <protection locked="0"/>
    </xf>
    <xf numFmtId="164" fontId="10" fillId="0" borderId="4" xfId="1" applyNumberFormat="1" applyFont="1" applyBorder="1" applyAlignment="1" applyProtection="1">
      <alignment horizontal="right"/>
      <protection locked="0"/>
    </xf>
    <xf numFmtId="2" fontId="2" fillId="0" borderId="0" xfId="4" applyNumberFormat="1" applyFill="1" applyProtection="1"/>
    <xf numFmtId="2" fontId="2" fillId="0" borderId="0" xfId="4" applyNumberFormat="1" applyFont="1" applyFill="1" applyAlignment="1" applyProtection="1">
      <alignment horizontal="right"/>
    </xf>
    <xf numFmtId="15" fontId="2" fillId="0" borderId="0" xfId="4" applyNumberFormat="1" applyFill="1" applyProtection="1"/>
    <xf numFmtId="2" fontId="2" fillId="0" borderId="0" xfId="4" applyNumberFormat="1" applyFill="1" applyAlignment="1" applyProtection="1">
      <alignment horizontal="center"/>
    </xf>
    <xf numFmtId="2" fontId="3" fillId="0" borderId="0" xfId="4" applyNumberFormat="1" applyFont="1" applyFill="1" applyAlignment="1" applyProtection="1">
      <alignment horizontal="center"/>
    </xf>
    <xf numFmtId="2" fontId="2" fillId="0" borderId="0" xfId="4" applyNumberFormat="1" applyFill="1" applyAlignment="1" applyProtection="1">
      <alignment horizontal="fill"/>
    </xf>
    <xf numFmtId="2" fontId="2" fillId="0" borderId="0" xfId="4" applyNumberFormat="1" applyFont="1" applyFill="1" applyAlignment="1" applyProtection="1">
      <alignment horizontal="center"/>
    </xf>
    <xf numFmtId="2" fontId="2" fillId="0" borderId="0" xfId="4" applyNumberFormat="1" applyFont="1" applyFill="1" applyProtection="1"/>
    <xf numFmtId="171" fontId="5" fillId="0" borderId="18" xfId="4" applyNumberFormat="1" applyFont="1" applyFill="1" applyBorder="1" applyProtection="1">
      <protection locked="0"/>
    </xf>
    <xf numFmtId="3" fontId="5" fillId="0" borderId="18" xfId="4" applyNumberFormat="1" applyFont="1" applyFill="1" applyBorder="1" applyProtection="1">
      <protection locked="0"/>
    </xf>
    <xf numFmtId="164" fontId="5" fillId="0" borderId="18" xfId="4" applyNumberFormat="1" applyFont="1" applyFill="1" applyBorder="1" applyProtection="1">
      <protection locked="0"/>
    </xf>
    <xf numFmtId="164" fontId="2" fillId="0" borderId="18" xfId="4" applyNumberFormat="1" applyFill="1" applyBorder="1" applyProtection="1"/>
    <xf numFmtId="4" fontId="5" fillId="0" borderId="18" xfId="4" applyNumberFormat="1" applyFont="1" applyFill="1" applyBorder="1" applyProtection="1">
      <protection locked="0"/>
    </xf>
    <xf numFmtId="4" fontId="2" fillId="0" borderId="18" xfId="4" applyNumberFormat="1" applyFill="1" applyBorder="1" applyProtection="1"/>
    <xf numFmtId="2" fontId="3" fillId="0" borderId="0" xfId="4" applyNumberFormat="1" applyFont="1" applyFill="1" applyProtection="1"/>
    <xf numFmtId="172" fontId="2" fillId="0" borderId="0" xfId="4" applyNumberFormat="1" applyFill="1" applyProtection="1"/>
    <xf numFmtId="2" fontId="2" fillId="0" borderId="0" xfId="4" applyNumberFormat="1" applyFill="1" applyAlignment="1" applyProtection="1">
      <alignment horizontal="right"/>
    </xf>
    <xf numFmtId="7" fontId="2" fillId="0" borderId="0" xfId="4" applyNumberFormat="1" applyFill="1" applyProtection="1"/>
    <xf numFmtId="5" fontId="2" fillId="0" borderId="0" xfId="4" applyNumberFormat="1" applyFill="1" applyProtection="1"/>
    <xf numFmtId="2" fontId="12" fillId="0" borderId="0" xfId="4" applyNumberFormat="1" applyFont="1" applyFill="1" applyProtection="1"/>
    <xf numFmtId="7" fontId="3" fillId="0" borderId="0" xfId="4" applyNumberFormat="1" applyFont="1" applyFill="1" applyProtection="1"/>
    <xf numFmtId="2" fontId="19" fillId="0" borderId="0" xfId="4" applyNumberFormat="1" applyFont="1" applyFill="1" applyProtection="1"/>
    <xf numFmtId="1" fontId="4" fillId="0" borderId="0" xfId="0" applyNumberFormat="1" applyFont="1"/>
    <xf numFmtId="10" fontId="3" fillId="0" borderId="0" xfId="3" applyNumberFormat="1" applyFont="1"/>
    <xf numFmtId="0" fontId="3" fillId="2" borderId="0" xfId="0" applyFont="1" applyFill="1" applyAlignment="1">
      <alignment horizontal="center"/>
    </xf>
    <xf numFmtId="10" fontId="2" fillId="0" borderId="19" xfId="3" applyNumberFormat="1" applyFont="1" applyBorder="1" applyProtection="1"/>
    <xf numFmtId="170" fontId="3" fillId="0" borderId="0" xfId="0" applyNumberFormat="1" applyFont="1"/>
    <xf numFmtId="164" fontId="3" fillId="0" borderId="0" xfId="0" applyNumberFormat="1" applyFont="1"/>
    <xf numFmtId="39" fontId="3" fillId="0" borderId="0" xfId="1" applyNumberFormat="1" applyFont="1"/>
    <xf numFmtId="1" fontId="2" fillId="0" borderId="0" xfId="0" applyNumberFormat="1" applyFont="1" applyBorder="1" applyAlignment="1" applyProtection="1">
      <alignment horizontal="right"/>
    </xf>
    <xf numFmtId="165" fontId="17" fillId="0" borderId="0" xfId="0" applyNumberFormat="1" applyFont="1" applyAlignment="1">
      <alignment horizontal="center"/>
    </xf>
    <xf numFmtId="0" fontId="2" fillId="0" borderId="0" xfId="0" applyFont="1" applyProtection="1"/>
    <xf numFmtId="0" fontId="10" fillId="0" borderId="0" xfId="0" applyFont="1"/>
    <xf numFmtId="165" fontId="2" fillId="0" borderId="0" xfId="0" applyNumberFormat="1" applyFont="1" applyAlignment="1">
      <alignment horizontal="right"/>
    </xf>
    <xf numFmtId="164" fontId="10" fillId="0" borderId="5" xfId="1" applyNumberFormat="1" applyFont="1" applyBorder="1" applyAlignment="1" applyProtection="1">
      <alignment horizontal="right"/>
      <protection locked="0"/>
    </xf>
    <xf numFmtId="168" fontId="3" fillId="0" borderId="0" xfId="0" applyNumberFormat="1" applyFont="1" applyAlignment="1">
      <alignment horizontal="right"/>
    </xf>
    <xf numFmtId="171" fontId="3" fillId="0" borderId="0" xfId="0" applyNumberFormat="1" applyFont="1" applyAlignment="1">
      <alignment horizontal="right"/>
    </xf>
    <xf numFmtId="0" fontId="0" fillId="0" borderId="0" xfId="0" applyAlignment="1">
      <alignment horizontal="center"/>
    </xf>
    <xf numFmtId="166" fontId="11" fillId="0" borderId="20" xfId="0" applyNumberFormat="1" applyFont="1" applyBorder="1" applyProtection="1">
      <protection locked="0"/>
    </xf>
    <xf numFmtId="0" fontId="3" fillId="0" borderId="6" xfId="0" applyFont="1" applyBorder="1" applyAlignment="1" applyProtection="1">
      <alignment horizontal="left"/>
      <protection locked="0"/>
    </xf>
    <xf numFmtId="164" fontId="10" fillId="0" borderId="21" xfId="0" applyNumberFormat="1" applyFont="1" applyBorder="1" applyProtection="1">
      <protection locked="0"/>
    </xf>
    <xf numFmtId="171" fontId="2" fillId="0" borderId="0" xfId="1" applyNumberFormat="1" applyFont="1" applyBorder="1" applyAlignment="1" applyProtection="1">
      <alignment horizontal="right"/>
    </xf>
    <xf numFmtId="168" fontId="3" fillId="0" borderId="0" xfId="0" applyNumberFormat="1" applyFont="1"/>
    <xf numFmtId="164" fontId="10" fillId="0" borderId="20" xfId="0" applyNumberFormat="1" applyFont="1" applyBorder="1"/>
    <xf numFmtId="165" fontId="10" fillId="0" borderId="0" xfId="0" applyNumberFormat="1" applyFont="1" applyProtection="1">
      <protection locked="0"/>
    </xf>
    <xf numFmtId="165" fontId="2" fillId="0" borderId="0" xfId="0" applyNumberFormat="1" applyFont="1" applyBorder="1" applyProtection="1"/>
    <xf numFmtId="0" fontId="2" fillId="0" borderId="0" xfId="0" applyFont="1" applyProtection="1">
      <protection locked="0"/>
    </xf>
    <xf numFmtId="10" fontId="10" fillId="0" borderId="22" xfId="3" applyNumberFormat="1" applyFont="1" applyBorder="1" applyProtection="1">
      <protection locked="0"/>
    </xf>
    <xf numFmtId="0" fontId="12" fillId="0" borderId="24" xfId="0" applyFont="1" applyBorder="1" applyAlignment="1" applyProtection="1">
      <alignment horizontal="left"/>
      <protection locked="0"/>
    </xf>
    <xf numFmtId="0" fontId="3" fillId="0" borderId="24" xfId="0" applyFont="1" applyBorder="1" applyAlignment="1" applyProtection="1">
      <alignment horizontal="left"/>
      <protection locked="0"/>
    </xf>
    <xf numFmtId="165" fontId="2" fillId="0" borderId="0" xfId="0" applyNumberFormat="1" applyFont="1"/>
    <xf numFmtId="165" fontId="3" fillId="0" borderId="1" xfId="0" applyNumberFormat="1" applyFont="1" applyBorder="1" applyProtection="1">
      <protection locked="0"/>
    </xf>
    <xf numFmtId="171" fontId="3" fillId="0" borderId="0" xfId="0" applyNumberFormat="1" applyFont="1" applyBorder="1" applyProtection="1"/>
    <xf numFmtId="171" fontId="0" fillId="0" borderId="0" xfId="0" applyNumberFormat="1"/>
    <xf numFmtId="171" fontId="2" fillId="0" borderId="0" xfId="0" applyNumberFormat="1" applyFont="1"/>
    <xf numFmtId="171" fontId="12" fillId="0" borderId="0" xfId="0" applyNumberFormat="1" applyFont="1"/>
    <xf numFmtId="171" fontId="3" fillId="2" borderId="0" xfId="0" applyNumberFormat="1" applyFont="1" applyFill="1" applyBorder="1" applyProtection="1"/>
    <xf numFmtId="171" fontId="21" fillId="2" borderId="0" xfId="0" applyNumberFormat="1" applyFont="1" applyFill="1"/>
    <xf numFmtId="171" fontId="3" fillId="2" borderId="0" xfId="0" applyNumberFormat="1" applyFont="1" applyFill="1"/>
    <xf numFmtId="169" fontId="3" fillId="0" borderId="0" xfId="3" applyNumberFormat="1" applyFont="1"/>
    <xf numFmtId="0" fontId="3" fillId="0" borderId="0" xfId="0" applyFont="1" applyProtection="1">
      <protection locked="0"/>
    </xf>
    <xf numFmtId="0" fontId="0" fillId="0" borderId="0" xfId="0" applyAlignment="1"/>
    <xf numFmtId="171" fontId="3" fillId="0" borderId="0" xfId="0" applyNumberFormat="1" applyFont="1"/>
    <xf numFmtId="0" fontId="23" fillId="0" borderId="0" xfId="0" applyFont="1" applyAlignment="1">
      <alignment vertical="center"/>
    </xf>
    <xf numFmtId="0" fontId="1" fillId="0" borderId="0" xfId="0" applyFont="1"/>
    <xf numFmtId="0" fontId="25" fillId="0" borderId="0" xfId="0" applyFont="1"/>
    <xf numFmtId="0" fontId="20" fillId="0" borderId="7" xfId="0" applyFont="1" applyBorder="1" applyAlignment="1" applyProtection="1">
      <alignment horizontal="left"/>
      <protection locked="0"/>
    </xf>
    <xf numFmtId="0" fontId="12" fillId="0" borderId="23" xfId="0" applyFont="1" applyBorder="1" applyAlignment="1" applyProtection="1">
      <alignment horizontal="left"/>
      <protection locked="0"/>
    </xf>
    <xf numFmtId="0" fontId="13" fillId="0" borderId="0" xfId="0" applyFont="1" applyAlignment="1">
      <alignment horizontal="center"/>
    </xf>
    <xf numFmtId="0" fontId="0" fillId="0" borderId="0" xfId="0" applyAlignment="1">
      <alignment horizontal="center"/>
    </xf>
    <xf numFmtId="0" fontId="22" fillId="0" borderId="7" xfId="0" applyFont="1" applyBorder="1" applyAlignment="1" applyProtection="1">
      <alignment horizontal="left"/>
      <protection locked="0"/>
    </xf>
    <xf numFmtId="0" fontId="22" fillId="0" borderId="25" xfId="0" applyFont="1" applyBorder="1" applyAlignment="1" applyProtection="1">
      <alignment horizontal="left"/>
      <protection locked="0"/>
    </xf>
    <xf numFmtId="0" fontId="22" fillId="0" borderId="23" xfId="0" applyFont="1" applyBorder="1" applyAlignment="1" applyProtection="1">
      <alignment horizontal="left"/>
      <protection locked="0"/>
    </xf>
    <xf numFmtId="0" fontId="22" fillId="0" borderId="7" xfId="0" applyFont="1" applyBorder="1" applyAlignment="1" applyProtection="1">
      <alignment horizontal="left" vertical="center"/>
      <protection locked="0"/>
    </xf>
    <xf numFmtId="0" fontId="16" fillId="0" borderId="0" xfId="0" applyFont="1" applyAlignment="1">
      <alignment horizontal="center"/>
    </xf>
    <xf numFmtId="2" fontId="18" fillId="0" borderId="0" xfId="4" applyNumberFormat="1" applyFont="1" applyFill="1" applyAlignment="1" applyProtection="1">
      <alignment horizontal="center"/>
    </xf>
    <xf numFmtId="2" fontId="6" fillId="0" borderId="17" xfId="4" applyNumberFormat="1" applyFont="1" applyFill="1" applyBorder="1" applyAlignment="1" applyProtection="1">
      <alignment horizontal="left"/>
      <protection locked="0"/>
    </xf>
    <xf numFmtId="0" fontId="6" fillId="0" borderId="0" xfId="0" applyFont="1" applyAlignment="1">
      <alignment horizontal="left"/>
    </xf>
  </cellXfs>
  <cellStyles count="5">
    <cellStyle name="Comma" xfId="1" builtinId="3"/>
    <cellStyle name="Currency" xfId="2" builtinId="4"/>
    <cellStyle name="Normal" xfId="0" builtinId="0"/>
    <cellStyle name="Normal_Pickup Analysis" xfId="4" xr:uid="{375C2AEB-77E2-4748-A2B1-6D3F981948FE}"/>
    <cellStyle name="Percent" xfId="3" builtinId="5"/>
  </cellStyles>
  <dxfs count="0"/>
  <tableStyles count="0" defaultTableStyle="TableStyleMedium9" defaultPivotStyle="PivotStyleLight16"/>
  <colors>
    <mruColors>
      <color rgb="FF0000FF"/>
      <color rgb="FFCCFFCC"/>
      <color rgb="FF3333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6BD2F-7D11-4703-B7D0-29DD465639A6}">
  <sheetPr>
    <pageSetUpPr fitToPage="1"/>
  </sheetPr>
  <dimension ref="B1:L51"/>
  <sheetViews>
    <sheetView tabSelected="1" workbookViewId="0">
      <selection activeCell="G10" sqref="G10"/>
    </sheetView>
  </sheetViews>
  <sheetFormatPr defaultRowHeight="12.45" x14ac:dyDescent="0.3"/>
  <cols>
    <col min="1" max="1" width="3.53515625" customWidth="1"/>
    <col min="2" max="2" width="27.69140625" customWidth="1"/>
    <col min="3" max="4" width="14.3046875" customWidth="1"/>
    <col min="5" max="5" width="18.921875" customWidth="1"/>
    <col min="6" max="6" width="16.921875" customWidth="1"/>
    <col min="7" max="7" width="5.15234375" customWidth="1"/>
    <col min="8" max="8" width="17.69140625" customWidth="1"/>
    <col min="9" max="9" width="18.3046875" customWidth="1"/>
    <col min="10" max="10" width="14.23046875" customWidth="1"/>
  </cols>
  <sheetData>
    <row r="1" spans="2:11" ht="20.149999999999999" x14ac:dyDescent="0.5">
      <c r="B1" s="130" t="s">
        <v>131</v>
      </c>
      <c r="C1" s="131"/>
      <c r="D1" s="131"/>
      <c r="E1" s="131"/>
      <c r="F1" s="131"/>
      <c r="G1" s="99"/>
      <c r="H1" s="99"/>
      <c r="I1" s="7"/>
    </row>
    <row r="2" spans="2:11" ht="20.149999999999999" x14ac:dyDescent="0.5">
      <c r="B2" s="21" t="s">
        <v>29</v>
      </c>
      <c r="C2" s="2"/>
      <c r="D2" s="2"/>
      <c r="E2" s="2" t="s">
        <v>11</v>
      </c>
      <c r="F2" s="23">
        <v>43435</v>
      </c>
      <c r="H2" s="7"/>
      <c r="I2" s="7"/>
    </row>
    <row r="3" spans="2:11" ht="20.149999999999999" x14ac:dyDescent="0.5">
      <c r="B3" s="128" t="s">
        <v>155</v>
      </c>
      <c r="C3" s="129"/>
      <c r="D3" s="110"/>
      <c r="E3" s="111" t="s">
        <v>12</v>
      </c>
      <c r="F3" s="100">
        <v>43468</v>
      </c>
      <c r="H3" s="7"/>
      <c r="I3" s="7"/>
    </row>
    <row r="4" spans="2:11" ht="15.45" x14ac:dyDescent="0.4">
      <c r="B4" s="2" t="s">
        <v>125</v>
      </c>
      <c r="C4" s="39"/>
      <c r="D4" s="39"/>
      <c r="E4" s="38" t="s">
        <v>13</v>
      </c>
      <c r="G4" s="32"/>
      <c r="H4" s="9"/>
      <c r="I4" s="9"/>
      <c r="J4" s="9"/>
    </row>
    <row r="5" spans="2:11" ht="15.45" x14ac:dyDescent="0.4">
      <c r="B5" s="16" t="s">
        <v>127</v>
      </c>
      <c r="C5" s="32" t="s">
        <v>1</v>
      </c>
      <c r="D5" s="32" t="s">
        <v>0</v>
      </c>
      <c r="E5" s="38" t="s">
        <v>14</v>
      </c>
      <c r="H5" s="9"/>
      <c r="I5" s="9"/>
      <c r="J5" s="9"/>
    </row>
    <row r="6" spans="2:11" ht="15.45" x14ac:dyDescent="0.4">
      <c r="B6" s="26" t="s">
        <v>120</v>
      </c>
      <c r="C6" s="60">
        <v>0</v>
      </c>
      <c r="D6" s="102">
        <v>0</v>
      </c>
      <c r="E6" s="103" t="str">
        <f>IF(C6=0," ",C6*D6)</f>
        <v xml:space="preserve"> </v>
      </c>
      <c r="H6" s="22"/>
      <c r="I6" s="9"/>
      <c r="J6" s="9"/>
      <c r="K6" s="9"/>
    </row>
    <row r="7" spans="2:11" ht="15.45" x14ac:dyDescent="0.4">
      <c r="B7" s="26" t="s">
        <v>121</v>
      </c>
      <c r="C7" s="60">
        <v>100</v>
      </c>
      <c r="D7" s="105">
        <v>1550</v>
      </c>
      <c r="E7" s="103">
        <f t="shared" ref="E7:E10" si="0">IF(C7=0," ",C7*D7)</f>
        <v>155000</v>
      </c>
      <c r="H7" s="22"/>
      <c r="I7" s="9"/>
      <c r="J7" s="9"/>
      <c r="K7" s="9"/>
    </row>
    <row r="8" spans="2:11" ht="15.45" x14ac:dyDescent="0.4">
      <c r="B8" s="26" t="s">
        <v>123</v>
      </c>
      <c r="C8" s="60">
        <v>0</v>
      </c>
      <c r="D8" s="105">
        <v>0</v>
      </c>
      <c r="E8" s="103" t="str">
        <f t="shared" si="0"/>
        <v xml:space="preserve"> </v>
      </c>
      <c r="H8" s="22"/>
      <c r="I8" s="9"/>
      <c r="J8" s="9"/>
      <c r="K8" s="9"/>
    </row>
    <row r="9" spans="2:11" ht="15.45" x14ac:dyDescent="0.4">
      <c r="B9" s="26" t="s">
        <v>124</v>
      </c>
      <c r="C9" s="60">
        <v>0</v>
      </c>
      <c r="D9" s="105">
        <v>0</v>
      </c>
      <c r="E9" s="103" t="str">
        <f t="shared" si="0"/>
        <v xml:space="preserve"> </v>
      </c>
      <c r="H9" s="22"/>
      <c r="I9" s="9"/>
      <c r="J9" s="9"/>
      <c r="K9" s="9"/>
    </row>
    <row r="10" spans="2:11" ht="15.45" x14ac:dyDescent="0.4">
      <c r="B10" s="26" t="s">
        <v>9</v>
      </c>
      <c r="C10" s="60">
        <v>0</v>
      </c>
      <c r="D10" s="105">
        <v>0</v>
      </c>
      <c r="E10" s="103" t="str">
        <f t="shared" si="0"/>
        <v xml:space="preserve"> </v>
      </c>
      <c r="H10" s="22"/>
      <c r="I10" s="9"/>
      <c r="J10" s="9"/>
      <c r="K10" s="9"/>
    </row>
    <row r="11" spans="2:11" ht="15.45" x14ac:dyDescent="0.4">
      <c r="B11" s="2" t="s">
        <v>31</v>
      </c>
      <c r="C11" s="33">
        <f>SUM(C6:C10)</f>
        <v>100</v>
      </c>
      <c r="D11" s="104">
        <f>IF(C11=0,0,E11/C11)</f>
        <v>1550</v>
      </c>
      <c r="E11" s="98">
        <f>SUM(E6:E10)</f>
        <v>155000</v>
      </c>
      <c r="I11" s="9"/>
      <c r="J11" s="9"/>
      <c r="K11" s="9"/>
    </row>
    <row r="12" spans="2:11" ht="15.45" x14ac:dyDescent="0.4">
      <c r="B12" s="2"/>
      <c r="C12" s="33"/>
      <c r="D12" s="33"/>
      <c r="E12" s="88"/>
      <c r="F12" s="36"/>
      <c r="G12" s="6"/>
      <c r="I12" s="9"/>
      <c r="J12" s="9"/>
      <c r="K12" s="9"/>
    </row>
    <row r="13" spans="2:11" ht="15.45" x14ac:dyDescent="0.4">
      <c r="B13" s="2" t="s">
        <v>114</v>
      </c>
      <c r="C13" s="32" t="s">
        <v>1</v>
      </c>
      <c r="D13" s="32" t="s">
        <v>0</v>
      </c>
      <c r="E13" s="92" t="s">
        <v>4</v>
      </c>
      <c r="I13" s="9"/>
      <c r="J13" s="9"/>
      <c r="K13" s="9"/>
    </row>
    <row r="14" spans="2:11" ht="15.45" x14ac:dyDescent="0.4">
      <c r="B14" s="93" t="str">
        <f>B6</f>
        <v>Open Heifers</v>
      </c>
      <c r="C14" s="91">
        <f>C6</f>
        <v>0</v>
      </c>
      <c r="D14" s="20" t="str">
        <f t="shared" ref="D14:D19" si="1">IF(C14=0," ",(E14/C14))</f>
        <v xml:space="preserve"> </v>
      </c>
      <c r="E14" s="95">
        <f>C14*$E$24+$J$40*$C14</f>
        <v>0</v>
      </c>
      <c r="I14" s="9"/>
      <c r="J14" s="9"/>
      <c r="K14" s="9"/>
    </row>
    <row r="15" spans="2:11" ht="15.45" x14ac:dyDescent="0.4">
      <c r="B15" s="93" t="str">
        <f>B7</f>
        <v>Bred Heifer</v>
      </c>
      <c r="C15" s="91">
        <f t="shared" ref="C15:C18" si="2">C7</f>
        <v>100</v>
      </c>
      <c r="D15" s="20">
        <f t="shared" si="1"/>
        <v>23.956999999999997</v>
      </c>
      <c r="E15" s="95">
        <f>C15*$E$24+$J$40*$C15</f>
        <v>2395.6999999999998</v>
      </c>
      <c r="I15" s="9"/>
      <c r="J15" s="9"/>
      <c r="K15" s="9"/>
    </row>
    <row r="16" spans="2:11" ht="15.45" x14ac:dyDescent="0.4">
      <c r="B16" s="93" t="str">
        <f t="shared" ref="B16:B18" si="3">B8</f>
        <v>Breeding Cows</v>
      </c>
      <c r="C16" s="91">
        <f t="shared" si="2"/>
        <v>0</v>
      </c>
      <c r="D16" s="20" t="str">
        <f t="shared" si="1"/>
        <v xml:space="preserve"> </v>
      </c>
      <c r="E16" s="95">
        <f>C16*$E$24+$J$40*$C16</f>
        <v>0</v>
      </c>
      <c r="I16" s="9"/>
      <c r="J16" s="9"/>
      <c r="K16" s="9"/>
    </row>
    <row r="17" spans="2:12" ht="15.45" x14ac:dyDescent="0.4">
      <c r="B17" s="93" t="str">
        <f t="shared" si="3"/>
        <v>Pairs</v>
      </c>
      <c r="C17" s="91">
        <f t="shared" si="2"/>
        <v>0</v>
      </c>
      <c r="D17" s="20" t="str">
        <f t="shared" si="1"/>
        <v xml:space="preserve"> </v>
      </c>
      <c r="E17" s="95">
        <f>C17*$E$24+$J$40*$C17</f>
        <v>0</v>
      </c>
      <c r="I17" s="9"/>
      <c r="J17" s="9"/>
      <c r="K17" s="9"/>
    </row>
    <row r="18" spans="2:12" ht="15.45" x14ac:dyDescent="0.4">
      <c r="B18" s="93" t="str">
        <f t="shared" si="3"/>
        <v>Other</v>
      </c>
      <c r="C18" s="91">
        <f t="shared" si="2"/>
        <v>0</v>
      </c>
      <c r="D18" s="20" t="str">
        <f t="shared" si="1"/>
        <v xml:space="preserve"> </v>
      </c>
      <c r="E18" s="95">
        <f>C18*$E$24+$J$40*$C18</f>
        <v>0</v>
      </c>
      <c r="I18" s="9"/>
      <c r="J18" s="9"/>
      <c r="K18" s="9"/>
    </row>
    <row r="19" spans="2:12" ht="15.45" x14ac:dyDescent="0.4">
      <c r="B19" s="2" t="s">
        <v>115</v>
      </c>
      <c r="C19" s="33">
        <f>SUM(C14:C18)</f>
        <v>100</v>
      </c>
      <c r="D19" s="89">
        <f t="shared" si="1"/>
        <v>23.956999999999997</v>
      </c>
      <c r="E19" s="89">
        <f>SUM(E14:E18)</f>
        <v>2395.6999999999998</v>
      </c>
      <c r="I19" s="9"/>
      <c r="J19" s="9"/>
      <c r="K19" s="9"/>
    </row>
    <row r="20" spans="2:12" ht="15.45" x14ac:dyDescent="0.4">
      <c r="B20" s="2"/>
      <c r="C20" s="33"/>
      <c r="D20" s="33"/>
      <c r="E20" s="90"/>
      <c r="F20" s="89"/>
      <c r="G20" s="6"/>
      <c r="I20" s="9"/>
      <c r="J20" s="9"/>
      <c r="K20" s="9"/>
    </row>
    <row r="21" spans="2:12" ht="15.45" x14ac:dyDescent="0.4">
      <c r="C21" s="8"/>
      <c r="D21" s="8"/>
      <c r="E21" s="11"/>
      <c r="F21" s="2" t="s">
        <v>129</v>
      </c>
      <c r="G21" s="3"/>
      <c r="H21" s="3"/>
      <c r="I21" s="15"/>
      <c r="J21" s="3"/>
      <c r="K21" s="9"/>
    </row>
    <row r="22" spans="2:12" ht="15.45" x14ac:dyDescent="0.4">
      <c r="B22" s="2" t="s">
        <v>4</v>
      </c>
      <c r="C22" s="8"/>
      <c r="D22" s="31" t="s">
        <v>0</v>
      </c>
      <c r="E22" s="30" t="s">
        <v>2</v>
      </c>
      <c r="F22" s="2" t="s">
        <v>130</v>
      </c>
      <c r="H22" s="3"/>
      <c r="I22" s="15"/>
      <c r="J22" s="3"/>
      <c r="K22" s="9"/>
    </row>
    <row r="23" spans="2:12" ht="15.45" x14ac:dyDescent="0.4">
      <c r="B23" s="3" t="s">
        <v>3</v>
      </c>
      <c r="C23" s="34" t="s">
        <v>30</v>
      </c>
      <c r="D23" s="107">
        <f>E23/C11</f>
        <v>57.35</v>
      </c>
      <c r="E23" s="107">
        <f>E24*E11</f>
        <v>5735</v>
      </c>
      <c r="F23" s="40">
        <f>IF(E23=0," ",E23/$E$35)</f>
        <v>0.70567244985849642</v>
      </c>
      <c r="H23" s="3"/>
      <c r="I23" s="15"/>
      <c r="J23" s="3"/>
      <c r="K23" s="9"/>
    </row>
    <row r="24" spans="2:12" ht="15.45" x14ac:dyDescent="0.4">
      <c r="B24" s="1" t="s">
        <v>111</v>
      </c>
      <c r="C24" s="4" t="s">
        <v>113</v>
      </c>
      <c r="D24" s="106"/>
      <c r="E24" s="109">
        <v>3.6999999999999998E-2</v>
      </c>
      <c r="F24" s="40"/>
      <c r="H24" s="15" t="s">
        <v>112</v>
      </c>
      <c r="J24" s="3"/>
      <c r="K24" s="9"/>
    </row>
    <row r="25" spans="2:12" ht="15" x14ac:dyDescent="0.35">
      <c r="B25" s="94" t="s">
        <v>147</v>
      </c>
      <c r="C25" s="4" t="s">
        <v>135</v>
      </c>
      <c r="D25" s="106">
        <v>2.75</v>
      </c>
      <c r="E25" s="107">
        <f>IF(D25=0,0,D25*$C$19)</f>
        <v>275</v>
      </c>
      <c r="F25" s="40">
        <f t="shared" ref="F25:F35" si="4">IF(E25=0," ",E25/$E$35)</f>
        <v>3.3837824535498953E-2</v>
      </c>
    </row>
    <row r="26" spans="2:12" ht="15" x14ac:dyDescent="0.35">
      <c r="B26" s="94" t="s">
        <v>5</v>
      </c>
      <c r="C26" s="34" t="s">
        <v>30</v>
      </c>
      <c r="D26" s="106">
        <v>0.32</v>
      </c>
      <c r="E26" s="107">
        <f t="shared" ref="E26:E34" si="5">IF(D26=0,0,D26*$C$19)</f>
        <v>32</v>
      </c>
      <c r="F26" s="40">
        <f t="shared" si="4"/>
        <v>3.937492309585333E-3</v>
      </c>
      <c r="J26" s="18"/>
      <c r="L26" s="14"/>
    </row>
    <row r="27" spans="2:12" ht="15.45" x14ac:dyDescent="0.4">
      <c r="B27" s="94" t="s">
        <v>6</v>
      </c>
      <c r="C27" s="34" t="s">
        <v>30</v>
      </c>
      <c r="D27" s="106">
        <v>0.85</v>
      </c>
      <c r="E27" s="107">
        <f t="shared" si="5"/>
        <v>85</v>
      </c>
      <c r="F27" s="40">
        <f t="shared" si="4"/>
        <v>1.0458963947336041E-2</v>
      </c>
      <c r="J27" s="34"/>
      <c r="L27" s="37"/>
    </row>
    <row r="28" spans="2:12" ht="15.45" x14ac:dyDescent="0.4">
      <c r="B28" s="94" t="s">
        <v>7</v>
      </c>
      <c r="C28" s="34" t="s">
        <v>30</v>
      </c>
      <c r="D28" s="106">
        <v>2</v>
      </c>
      <c r="E28" s="107">
        <f t="shared" si="5"/>
        <v>200</v>
      </c>
      <c r="F28" s="40">
        <f t="shared" si="4"/>
        <v>2.4609326934908329E-2</v>
      </c>
      <c r="J28" s="25"/>
      <c r="L28" s="6"/>
    </row>
    <row r="29" spans="2:12" ht="15.45" x14ac:dyDescent="0.4">
      <c r="B29" s="94" t="s">
        <v>119</v>
      </c>
      <c r="C29" s="34" t="s">
        <v>30</v>
      </c>
      <c r="D29" s="106">
        <v>5</v>
      </c>
      <c r="E29" s="107">
        <f t="shared" si="5"/>
        <v>500</v>
      </c>
      <c r="F29" s="40">
        <f t="shared" si="4"/>
        <v>6.1523317337270823E-2</v>
      </c>
      <c r="H29" s="2"/>
      <c r="I29" s="24"/>
      <c r="J29" s="25"/>
      <c r="L29" s="6"/>
    </row>
    <row r="30" spans="2:12" ht="15.45" x14ac:dyDescent="0.4">
      <c r="B30" s="94" t="s">
        <v>8</v>
      </c>
      <c r="C30" s="34" t="s">
        <v>30</v>
      </c>
      <c r="D30" s="106">
        <v>2</v>
      </c>
      <c r="E30" s="107">
        <f t="shared" si="5"/>
        <v>200</v>
      </c>
      <c r="F30" s="40">
        <f t="shared" si="4"/>
        <v>2.4609326934908329E-2</v>
      </c>
      <c r="H30" s="2"/>
      <c r="I30" s="24"/>
      <c r="J30" s="24"/>
      <c r="L30" s="6"/>
    </row>
    <row r="31" spans="2:12" ht="15.45" x14ac:dyDescent="0.4">
      <c r="B31" s="26" t="s">
        <v>9</v>
      </c>
      <c r="C31" s="34" t="s">
        <v>30</v>
      </c>
      <c r="D31" s="106">
        <v>0</v>
      </c>
      <c r="E31" s="107">
        <f t="shared" si="5"/>
        <v>0</v>
      </c>
      <c r="F31" s="40" t="str">
        <f t="shared" si="4"/>
        <v xml:space="preserve"> </v>
      </c>
      <c r="H31" s="2"/>
      <c r="I31" s="19"/>
      <c r="J31" s="19"/>
      <c r="L31" s="6"/>
    </row>
    <row r="32" spans="2:12" ht="15.45" x14ac:dyDescent="0.4">
      <c r="B32" s="26" t="s">
        <v>9</v>
      </c>
      <c r="C32" s="34" t="s">
        <v>30</v>
      </c>
      <c r="D32" s="106">
        <v>0</v>
      </c>
      <c r="E32" s="107">
        <f t="shared" si="5"/>
        <v>0</v>
      </c>
      <c r="F32" s="40" t="str">
        <f t="shared" si="4"/>
        <v xml:space="preserve"> </v>
      </c>
      <c r="H32" s="2"/>
      <c r="I32" s="19"/>
      <c r="J32" s="19"/>
      <c r="L32" s="6"/>
    </row>
    <row r="33" spans="2:12" ht="15.45" x14ac:dyDescent="0.4">
      <c r="B33" s="26" t="s">
        <v>9</v>
      </c>
      <c r="C33" s="34" t="s">
        <v>30</v>
      </c>
      <c r="D33" s="106">
        <v>0</v>
      </c>
      <c r="E33" s="107">
        <f t="shared" si="5"/>
        <v>0</v>
      </c>
      <c r="F33" s="40" t="str">
        <f t="shared" si="4"/>
        <v xml:space="preserve"> </v>
      </c>
      <c r="H33" s="2"/>
      <c r="I33" s="19"/>
      <c r="J33" s="19"/>
      <c r="L33" s="6"/>
    </row>
    <row r="34" spans="2:12" ht="15.45" x14ac:dyDescent="0.4">
      <c r="B34" s="108" t="s">
        <v>128</v>
      </c>
      <c r="C34" s="34" t="s">
        <v>30</v>
      </c>
      <c r="D34" s="106">
        <v>11</v>
      </c>
      <c r="E34" s="107">
        <f t="shared" si="5"/>
        <v>1100</v>
      </c>
      <c r="F34" s="40">
        <f t="shared" si="4"/>
        <v>0.13535129814199581</v>
      </c>
      <c r="H34" s="112" t="s">
        <v>148</v>
      </c>
      <c r="I34" s="19"/>
      <c r="J34" s="19"/>
      <c r="L34" s="6"/>
    </row>
    <row r="35" spans="2:12" ht="15.45" x14ac:dyDescent="0.4">
      <c r="B35" s="2" t="s">
        <v>118</v>
      </c>
      <c r="C35" s="34" t="s">
        <v>30</v>
      </c>
      <c r="D35" s="13">
        <f>SUM(D23+SUM(D25:D34))</f>
        <v>81.27000000000001</v>
      </c>
      <c r="E35" s="13">
        <f>SUM(E23+SUM(E25:E34))</f>
        <v>8127</v>
      </c>
      <c r="F35" s="121">
        <f t="shared" si="4"/>
        <v>1</v>
      </c>
      <c r="H35" s="8"/>
      <c r="I35" s="19"/>
      <c r="J35" s="19"/>
      <c r="L35" s="6"/>
    </row>
    <row r="36" spans="2:12" ht="15.45" x14ac:dyDescent="0.4">
      <c r="B36" s="2"/>
      <c r="C36" s="3"/>
      <c r="D36" s="8"/>
      <c r="E36" s="2" t="s">
        <v>149</v>
      </c>
      <c r="H36" s="8"/>
      <c r="I36" s="19"/>
      <c r="J36" s="19"/>
      <c r="L36" s="6"/>
    </row>
    <row r="37" spans="2:12" ht="15.45" x14ac:dyDescent="0.4">
      <c r="B37" s="2"/>
      <c r="C37" s="3"/>
      <c r="D37" s="31"/>
      <c r="E37" s="10" t="s">
        <v>10</v>
      </c>
      <c r="F37" s="41" t="s">
        <v>113</v>
      </c>
      <c r="H37" s="8"/>
      <c r="I37" s="19"/>
      <c r="J37" s="19"/>
      <c r="L37" s="6"/>
    </row>
    <row r="38" spans="2:12" ht="15.45" x14ac:dyDescent="0.4">
      <c r="B38" s="2" t="s">
        <v>116</v>
      </c>
      <c r="C38" s="10"/>
      <c r="D38" s="5"/>
      <c r="E38" s="29">
        <f>C11</f>
        <v>100</v>
      </c>
      <c r="F38" s="42">
        <f>IF(E11=0,0,E35/E11)</f>
        <v>5.2432258064516131E-2</v>
      </c>
      <c r="H38" s="6"/>
      <c r="L38" s="6"/>
    </row>
    <row r="39" spans="2:12" ht="15.45" x14ac:dyDescent="0.4">
      <c r="B39" s="2"/>
      <c r="C39" s="10"/>
      <c r="D39" s="5"/>
      <c r="E39" s="29"/>
      <c r="H39" s="6"/>
      <c r="J39" s="2" t="s">
        <v>0</v>
      </c>
      <c r="L39" s="6"/>
    </row>
    <row r="40" spans="2:12" ht="15.45" x14ac:dyDescent="0.4">
      <c r="B40" s="2" t="s">
        <v>141</v>
      </c>
      <c r="C40" s="10"/>
      <c r="D40" s="10"/>
      <c r="E40" s="30" t="s">
        <v>2</v>
      </c>
      <c r="F40" s="2" t="s">
        <v>146</v>
      </c>
      <c r="H40" s="37" t="s">
        <v>132</v>
      </c>
      <c r="I40" s="6">
        <f>E35-E23</f>
        <v>2392</v>
      </c>
      <c r="J40" s="6">
        <f>I40/C19</f>
        <v>23.92</v>
      </c>
      <c r="L40" s="6"/>
    </row>
    <row r="41" spans="2:12" ht="15.45" x14ac:dyDescent="0.4">
      <c r="B41" s="2" t="s">
        <v>16</v>
      </c>
      <c r="C41" s="34" t="s">
        <v>30</v>
      </c>
      <c r="D41" s="34"/>
      <c r="E41" s="114">
        <f>E11</f>
        <v>155000</v>
      </c>
      <c r="F41" s="124">
        <f>E41/$E$38</f>
        <v>1550</v>
      </c>
      <c r="G41" s="5"/>
      <c r="H41" s="8"/>
      <c r="I41" s="19"/>
      <c r="J41" s="19"/>
      <c r="L41" s="6"/>
    </row>
    <row r="42" spans="2:12" ht="15.45" x14ac:dyDescent="0.4">
      <c r="B42" s="2" t="s">
        <v>15</v>
      </c>
      <c r="C42" s="34" t="s">
        <v>30</v>
      </c>
      <c r="D42" s="34"/>
      <c r="E42" s="114">
        <f>E35</f>
        <v>8127</v>
      </c>
      <c r="F42" s="124">
        <f t="shared" ref="F42:F43" si="6">E42/$E$38</f>
        <v>81.27</v>
      </c>
      <c r="G42" s="85"/>
      <c r="H42" s="8"/>
      <c r="I42" s="19"/>
      <c r="J42" s="19"/>
      <c r="L42" s="6"/>
    </row>
    <row r="43" spans="2:12" ht="15.45" x14ac:dyDescent="0.4">
      <c r="B43" s="28" t="s">
        <v>117</v>
      </c>
      <c r="C43" s="86" t="s">
        <v>30</v>
      </c>
      <c r="D43" s="86"/>
      <c r="E43" s="118">
        <f>E41-E42</f>
        <v>146873</v>
      </c>
      <c r="F43" s="124">
        <f t="shared" si="6"/>
        <v>1468.73</v>
      </c>
      <c r="G43" s="5"/>
      <c r="H43" s="8"/>
      <c r="I43" s="19"/>
      <c r="J43" s="19"/>
      <c r="L43" s="6"/>
    </row>
    <row r="44" spans="2:12" ht="15.45" x14ac:dyDescent="0.4">
      <c r="B44" s="132" t="s">
        <v>151</v>
      </c>
      <c r="C44" s="133"/>
      <c r="D44" s="133"/>
      <c r="E44" s="133"/>
      <c r="F44" s="134"/>
      <c r="G44" s="8"/>
      <c r="H44" s="8"/>
      <c r="I44" s="19"/>
      <c r="J44" s="19"/>
      <c r="L44" s="6"/>
    </row>
    <row r="45" spans="2:12" ht="15" x14ac:dyDescent="0.35">
      <c r="B45" s="1"/>
      <c r="C45" s="1"/>
      <c r="D45" s="1"/>
      <c r="E45" s="1"/>
      <c r="F45" s="1"/>
      <c r="G45" s="1"/>
      <c r="H45" s="1"/>
      <c r="I45" s="1"/>
    </row>
    <row r="48" spans="2:12" ht="15" x14ac:dyDescent="0.35">
      <c r="J48" s="4"/>
    </row>
    <row r="49" spans="4:10" ht="15" x14ac:dyDescent="0.35">
      <c r="J49" s="1"/>
    </row>
    <row r="50" spans="4:10" ht="15.45" x14ac:dyDescent="0.3">
      <c r="D50" s="125" t="s">
        <v>152</v>
      </c>
    </row>
    <row r="51" spans="4:10" ht="15.45" x14ac:dyDescent="0.3">
      <c r="D51" s="125"/>
    </row>
  </sheetData>
  <sheetProtection sheet="1" objects="1" scenarios="1"/>
  <mergeCells count="3">
    <mergeCell ref="B3:C3"/>
    <mergeCell ref="B1:F1"/>
    <mergeCell ref="B44:F44"/>
  </mergeCells>
  <pageMargins left="0.95" right="0.45" top="0.75" bottom="0.75" header="0.3" footer="0.3"/>
  <pageSetup scale="99" orientation="portrait" horizontalDpi="4294967295" verticalDpi="4294967295" r:id="rId1"/>
  <headerFooter>
    <oddFooter>&amp;L&amp;F&amp;R&amp;A</oddFooter>
  </headerFooter>
  <ignoredErrors>
    <ignoredError sqref="D19 D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B5047-FD05-41E5-BC0F-7153190D5606}">
  <sheetPr>
    <pageSetUpPr fitToPage="1"/>
  </sheetPr>
  <dimension ref="B1:J50"/>
  <sheetViews>
    <sheetView workbookViewId="0">
      <selection activeCell="C5" sqref="C5"/>
    </sheetView>
  </sheetViews>
  <sheetFormatPr defaultRowHeight="12.45" x14ac:dyDescent="0.3"/>
  <cols>
    <col min="1" max="1" width="2.921875" customWidth="1"/>
    <col min="2" max="2" width="27.4609375" customWidth="1"/>
    <col min="3" max="3" width="13.4609375" customWidth="1"/>
    <col min="4" max="4" width="17.3828125" customWidth="1"/>
    <col min="5" max="5" width="16.84375" customWidth="1"/>
    <col min="6" max="6" width="11.23046875" customWidth="1"/>
    <col min="7" max="7" width="11" customWidth="1"/>
    <col min="8" max="8" width="18.921875" customWidth="1"/>
    <col min="9" max="9" width="11.3828125" bestFit="1" customWidth="1"/>
  </cols>
  <sheetData>
    <row r="1" spans="2:7" ht="17.600000000000001" x14ac:dyDescent="0.4">
      <c r="B1" s="130" t="s">
        <v>136</v>
      </c>
      <c r="C1" s="131"/>
      <c r="D1" s="131"/>
      <c r="E1" s="131"/>
      <c r="F1" s="131"/>
    </row>
    <row r="2" spans="2:7" ht="15.45" x14ac:dyDescent="0.4">
      <c r="B2" s="21" t="s">
        <v>29</v>
      </c>
      <c r="C2" s="2"/>
      <c r="D2" s="2" t="s">
        <v>11</v>
      </c>
      <c r="E2" s="23">
        <v>43391</v>
      </c>
    </row>
    <row r="3" spans="2:7" ht="15" x14ac:dyDescent="0.35">
      <c r="B3" s="128" t="s">
        <v>155</v>
      </c>
      <c r="C3" s="129"/>
      <c r="D3" s="43" t="s">
        <v>126</v>
      </c>
      <c r="E3" s="60">
        <v>1</v>
      </c>
      <c r="F3" s="27"/>
    </row>
    <row r="4" spans="2:7" ht="15.45" x14ac:dyDescent="0.4">
      <c r="D4" s="101" t="s">
        <v>12</v>
      </c>
      <c r="E4" s="100">
        <v>43394</v>
      </c>
      <c r="F4" s="9"/>
    </row>
    <row r="5" spans="2:7" ht="15.45" x14ac:dyDescent="0.4">
      <c r="B5" s="2"/>
      <c r="C5" s="84"/>
      <c r="D5" s="84"/>
      <c r="E5" s="35"/>
      <c r="F5" s="9"/>
    </row>
    <row r="6" spans="2:7" ht="15.45" x14ac:dyDescent="0.4">
      <c r="B6" s="2" t="s">
        <v>137</v>
      </c>
      <c r="C6" s="39"/>
      <c r="D6" s="38" t="s">
        <v>13</v>
      </c>
      <c r="F6" s="32"/>
    </row>
    <row r="7" spans="2:7" ht="15.45" x14ac:dyDescent="0.4">
      <c r="B7" s="16" t="s">
        <v>122</v>
      </c>
      <c r="C7" s="32" t="s">
        <v>1</v>
      </c>
      <c r="D7" s="38" t="s">
        <v>14</v>
      </c>
      <c r="E7" s="32" t="s">
        <v>0</v>
      </c>
    </row>
    <row r="8" spans="2:7" ht="15.45" x14ac:dyDescent="0.4">
      <c r="B8" s="26" t="s">
        <v>120</v>
      </c>
      <c r="C8" s="60">
        <v>0</v>
      </c>
      <c r="D8" s="61">
        <v>0</v>
      </c>
      <c r="E8" s="20" t="str">
        <f>IF(C16=0," ",(D8/C16))</f>
        <v xml:space="preserve"> </v>
      </c>
      <c r="G8" s="9"/>
    </row>
    <row r="9" spans="2:7" ht="15.45" x14ac:dyDescent="0.4">
      <c r="B9" s="26" t="s">
        <v>121</v>
      </c>
      <c r="C9" s="60">
        <v>100</v>
      </c>
      <c r="D9" s="61">
        <v>155000</v>
      </c>
      <c r="E9" s="20">
        <f t="shared" ref="E9:E12" si="0">IF(C17=0," ",(D9/C17))</f>
        <v>1550</v>
      </c>
      <c r="G9" s="9"/>
    </row>
    <row r="10" spans="2:7" ht="15.45" x14ac:dyDescent="0.4">
      <c r="B10" s="26" t="s">
        <v>123</v>
      </c>
      <c r="C10" s="60">
        <v>0</v>
      </c>
      <c r="D10" s="96"/>
      <c r="E10" s="20" t="str">
        <f t="shared" si="0"/>
        <v xml:space="preserve"> </v>
      </c>
      <c r="G10" s="9"/>
    </row>
    <row r="11" spans="2:7" ht="15.45" x14ac:dyDescent="0.4">
      <c r="B11" s="26" t="s">
        <v>124</v>
      </c>
      <c r="C11" s="60">
        <v>0</v>
      </c>
      <c r="D11" s="96"/>
      <c r="E11" s="20" t="str">
        <f t="shared" si="0"/>
        <v xml:space="preserve"> </v>
      </c>
      <c r="G11" s="9"/>
    </row>
    <row r="12" spans="2:7" ht="15.45" x14ac:dyDescent="0.4">
      <c r="B12" s="26" t="s">
        <v>9</v>
      </c>
      <c r="C12" s="60">
        <v>0</v>
      </c>
      <c r="D12" s="61">
        <v>0</v>
      </c>
      <c r="E12" s="20" t="str">
        <f t="shared" si="0"/>
        <v xml:space="preserve"> </v>
      </c>
      <c r="G12" s="9"/>
    </row>
    <row r="13" spans="2:7" ht="15.45" x14ac:dyDescent="0.4">
      <c r="B13" s="2" t="s">
        <v>31</v>
      </c>
      <c r="C13" s="33">
        <f>SUM(C16:C20)</f>
        <v>100</v>
      </c>
      <c r="D13" s="97">
        <f>SUM(D8:D12)</f>
        <v>155000</v>
      </c>
      <c r="E13" s="6">
        <f>IF(C13=0,0,D13/C13)</f>
        <v>1550</v>
      </c>
      <c r="G13" s="9"/>
    </row>
    <row r="14" spans="2:7" ht="15.45" x14ac:dyDescent="0.4">
      <c r="B14" s="2"/>
      <c r="C14" s="33"/>
      <c r="D14" s="88"/>
      <c r="E14" s="36"/>
      <c r="F14" s="6"/>
      <c r="G14" s="9"/>
    </row>
    <row r="15" spans="2:7" ht="15.45" x14ac:dyDescent="0.4">
      <c r="B15" s="2" t="s">
        <v>114</v>
      </c>
      <c r="C15" s="32" t="s">
        <v>1</v>
      </c>
      <c r="D15" s="92" t="s">
        <v>4</v>
      </c>
      <c r="E15" s="32" t="s">
        <v>0</v>
      </c>
      <c r="G15" s="9"/>
    </row>
    <row r="16" spans="2:7" ht="15.45" x14ac:dyDescent="0.4">
      <c r="B16" s="93" t="str">
        <f>B8</f>
        <v>Open Heifers</v>
      </c>
      <c r="C16" s="91">
        <f>C8</f>
        <v>0</v>
      </c>
      <c r="D16" s="95">
        <f>D8*$D$26+$J$41*$C16</f>
        <v>0</v>
      </c>
      <c r="E16" s="20" t="str">
        <f>IF(C16=0," ",(D16/C16))</f>
        <v xml:space="preserve"> </v>
      </c>
      <c r="G16" s="9"/>
    </row>
    <row r="17" spans="2:8" ht="15.45" x14ac:dyDescent="0.4">
      <c r="B17" s="93" t="str">
        <f>B9</f>
        <v>Bred Heifer</v>
      </c>
      <c r="C17" s="91">
        <f t="shared" ref="C17:C20" si="1">C9</f>
        <v>100</v>
      </c>
      <c r="D17" s="95">
        <f>D9*$D$26+$J$41*$C17</f>
        <v>8127</v>
      </c>
      <c r="E17" s="20">
        <f t="shared" ref="E17:E20" si="2">IF(C17=0," ",(D17/C17))</f>
        <v>81.27</v>
      </c>
      <c r="G17" s="9"/>
    </row>
    <row r="18" spans="2:8" ht="15.45" x14ac:dyDescent="0.4">
      <c r="B18" s="93" t="str">
        <f t="shared" ref="B18:B20" si="3">B10</f>
        <v>Breeding Cows</v>
      </c>
      <c r="C18" s="91">
        <f t="shared" si="1"/>
        <v>0</v>
      </c>
      <c r="D18" s="95">
        <f>D10*$D$26+$J$41*$C18</f>
        <v>0</v>
      </c>
      <c r="E18" s="20" t="str">
        <f t="shared" si="2"/>
        <v xml:space="preserve"> </v>
      </c>
      <c r="G18" s="9"/>
    </row>
    <row r="19" spans="2:8" ht="15.45" x14ac:dyDescent="0.4">
      <c r="B19" s="93" t="str">
        <f t="shared" si="3"/>
        <v>Pairs</v>
      </c>
      <c r="C19" s="91">
        <f t="shared" si="1"/>
        <v>0</v>
      </c>
      <c r="D19" s="95">
        <f>D11*$D$26+$J$41*$C19</f>
        <v>0</v>
      </c>
      <c r="E19" s="20" t="str">
        <f t="shared" si="2"/>
        <v xml:space="preserve"> </v>
      </c>
      <c r="G19" s="9"/>
    </row>
    <row r="20" spans="2:8" ht="15.45" x14ac:dyDescent="0.4">
      <c r="B20" s="93" t="str">
        <f t="shared" si="3"/>
        <v>Other</v>
      </c>
      <c r="C20" s="91">
        <f t="shared" si="1"/>
        <v>0</v>
      </c>
      <c r="D20" s="95">
        <f>D12*$D$26+$J$41*$C20</f>
        <v>0</v>
      </c>
      <c r="E20" s="20" t="str">
        <f t="shared" si="2"/>
        <v xml:space="preserve"> </v>
      </c>
      <c r="G20" s="9"/>
    </row>
    <row r="21" spans="2:8" ht="15.45" x14ac:dyDescent="0.4">
      <c r="B21" s="2" t="s">
        <v>115</v>
      </c>
      <c r="C21" s="33">
        <f>SUM(C16:C20)</f>
        <v>100</v>
      </c>
      <c r="D21" s="89">
        <f>SUM(D16:D20)</f>
        <v>8127</v>
      </c>
      <c r="E21" s="6">
        <f>D21/C21</f>
        <v>81.27</v>
      </c>
      <c r="G21" s="9"/>
    </row>
    <row r="22" spans="2:8" ht="15.45" x14ac:dyDescent="0.4">
      <c r="B22" s="2"/>
      <c r="C22" s="33"/>
      <c r="D22" s="90"/>
      <c r="E22" s="89"/>
      <c r="F22" s="6"/>
      <c r="G22" s="9"/>
    </row>
    <row r="23" spans="2:8" ht="15.45" x14ac:dyDescent="0.4">
      <c r="C23" s="8"/>
      <c r="D23" s="11"/>
      <c r="E23" s="2" t="s">
        <v>133</v>
      </c>
      <c r="F23" s="3"/>
      <c r="G23" s="9"/>
    </row>
    <row r="24" spans="2:8" ht="15.45" x14ac:dyDescent="0.4">
      <c r="B24" s="2" t="s">
        <v>4</v>
      </c>
      <c r="C24" s="8"/>
      <c r="D24" s="30" t="s">
        <v>2</v>
      </c>
      <c r="E24" s="2" t="s">
        <v>134</v>
      </c>
      <c r="F24" s="31" t="s">
        <v>0</v>
      </c>
      <c r="G24" s="9"/>
    </row>
    <row r="25" spans="2:8" ht="15.45" x14ac:dyDescent="0.4">
      <c r="B25" s="3" t="s">
        <v>3</v>
      </c>
      <c r="C25" s="34" t="s">
        <v>30</v>
      </c>
      <c r="D25" s="12">
        <v>5735</v>
      </c>
      <c r="E25" s="40">
        <f>IF(D25=0," ",D25/$D$39)</f>
        <v>0.70567244985849642</v>
      </c>
      <c r="F25" s="17">
        <f>IF(D25=0,0,D25/$C$13)</f>
        <v>57.35</v>
      </c>
      <c r="G25" s="9"/>
    </row>
    <row r="26" spans="2:8" ht="15.45" x14ac:dyDescent="0.4">
      <c r="B26" s="1" t="s">
        <v>111</v>
      </c>
      <c r="C26" s="4" t="s">
        <v>113</v>
      </c>
      <c r="D26" s="87">
        <f>IF(C13=0,0,D25/D13)</f>
        <v>3.6999999999999998E-2</v>
      </c>
      <c r="E26" s="40"/>
      <c r="F26" s="17"/>
      <c r="G26" s="9"/>
      <c r="H26" s="15" t="s">
        <v>145</v>
      </c>
    </row>
    <row r="27" spans="2:8" ht="15" x14ac:dyDescent="0.35">
      <c r="B27" s="94" t="s">
        <v>150</v>
      </c>
      <c r="C27" s="34" t="s">
        <v>30</v>
      </c>
      <c r="D27" s="12">
        <v>275</v>
      </c>
      <c r="E27" s="40">
        <f t="shared" ref="E27:E36" si="4">IF(D27=0," ",D27/$D$39)</f>
        <v>3.3837824535498953E-2</v>
      </c>
      <c r="F27" s="17">
        <f t="shared" ref="F27:F38" si="5">IF(D27=0," ",D27/$C$13)</f>
        <v>2.75</v>
      </c>
    </row>
    <row r="28" spans="2:8" ht="15" x14ac:dyDescent="0.35">
      <c r="B28" s="94" t="s">
        <v>5</v>
      </c>
      <c r="C28" s="34" t="s">
        <v>30</v>
      </c>
      <c r="D28" s="12">
        <v>32</v>
      </c>
      <c r="E28" s="40">
        <f t="shared" si="4"/>
        <v>3.937492309585333E-3</v>
      </c>
      <c r="F28" s="17">
        <f t="shared" si="5"/>
        <v>0.32</v>
      </c>
      <c r="H28" s="14"/>
    </row>
    <row r="29" spans="2:8" ht="15.45" x14ac:dyDescent="0.4">
      <c r="B29" s="94" t="s">
        <v>6</v>
      </c>
      <c r="C29" s="34" t="s">
        <v>30</v>
      </c>
      <c r="D29" s="12">
        <v>85</v>
      </c>
      <c r="E29" s="40">
        <f t="shared" si="4"/>
        <v>1.0458963947336041E-2</v>
      </c>
      <c r="F29" s="17">
        <f t="shared" si="5"/>
        <v>0.85</v>
      </c>
      <c r="H29" s="37"/>
    </row>
    <row r="30" spans="2:8" ht="15.45" x14ac:dyDescent="0.4">
      <c r="B30" s="94" t="s">
        <v>7</v>
      </c>
      <c r="C30" s="34" t="s">
        <v>30</v>
      </c>
      <c r="D30" s="12">
        <v>200</v>
      </c>
      <c r="E30" s="40">
        <f t="shared" si="4"/>
        <v>2.4609326934908329E-2</v>
      </c>
      <c r="F30" s="17">
        <f t="shared" si="5"/>
        <v>2</v>
      </c>
      <c r="H30" s="6"/>
    </row>
    <row r="31" spans="2:8" ht="15.45" x14ac:dyDescent="0.4">
      <c r="B31" s="94" t="s">
        <v>119</v>
      </c>
      <c r="C31" s="34" t="s">
        <v>30</v>
      </c>
      <c r="D31" s="12">
        <v>500</v>
      </c>
      <c r="E31" s="40">
        <f t="shared" si="4"/>
        <v>6.1523317337270823E-2</v>
      </c>
      <c r="F31" s="17">
        <f t="shared" si="5"/>
        <v>5</v>
      </c>
      <c r="H31" s="6"/>
    </row>
    <row r="32" spans="2:8" ht="15.45" x14ac:dyDescent="0.4">
      <c r="B32" s="94" t="s">
        <v>8</v>
      </c>
      <c r="C32" s="34" t="s">
        <v>30</v>
      </c>
      <c r="D32" s="12">
        <v>200</v>
      </c>
      <c r="E32" s="40">
        <f t="shared" si="4"/>
        <v>2.4609326934908329E-2</v>
      </c>
      <c r="F32" s="17">
        <f t="shared" si="5"/>
        <v>2</v>
      </c>
      <c r="H32" s="6"/>
    </row>
    <row r="33" spans="2:10" ht="15.45" x14ac:dyDescent="0.4">
      <c r="B33" s="26" t="s">
        <v>9</v>
      </c>
      <c r="C33" s="34" t="s">
        <v>30</v>
      </c>
      <c r="D33" s="12">
        <v>0</v>
      </c>
      <c r="E33" s="40" t="str">
        <f t="shared" si="4"/>
        <v xml:space="preserve"> </v>
      </c>
      <c r="F33" s="17" t="str">
        <f t="shared" si="5"/>
        <v xml:space="preserve"> </v>
      </c>
      <c r="H33" s="6"/>
    </row>
    <row r="34" spans="2:10" ht="15.45" x14ac:dyDescent="0.4">
      <c r="B34" s="26" t="s">
        <v>9</v>
      </c>
      <c r="C34" s="34" t="s">
        <v>30</v>
      </c>
      <c r="D34" s="12">
        <v>0</v>
      </c>
      <c r="E34" s="40" t="str">
        <f t="shared" si="4"/>
        <v xml:space="preserve"> </v>
      </c>
      <c r="F34" s="17" t="str">
        <f t="shared" si="5"/>
        <v xml:space="preserve"> </v>
      </c>
      <c r="H34" s="6"/>
    </row>
    <row r="35" spans="2:10" ht="15.45" x14ac:dyDescent="0.4">
      <c r="B35" s="26" t="s">
        <v>9</v>
      </c>
      <c r="C35" s="34" t="s">
        <v>30</v>
      </c>
      <c r="D35" s="12">
        <v>0</v>
      </c>
      <c r="E35" s="40" t="str">
        <f t="shared" si="4"/>
        <v xml:space="preserve"> </v>
      </c>
      <c r="F35" s="17" t="str">
        <f t="shared" si="5"/>
        <v xml:space="preserve"> </v>
      </c>
      <c r="H35" s="6"/>
    </row>
    <row r="36" spans="2:10" ht="15.45" x14ac:dyDescent="0.4">
      <c r="B36" s="122" t="s">
        <v>138</v>
      </c>
      <c r="C36" s="4" t="s">
        <v>30</v>
      </c>
      <c r="D36" s="113">
        <f>SUM(D25+SUM(D27:D35))</f>
        <v>7027</v>
      </c>
      <c r="E36" s="121">
        <f t="shared" si="4"/>
        <v>0.86464870185800413</v>
      </c>
      <c r="F36" s="6">
        <f t="shared" si="5"/>
        <v>70.27</v>
      </c>
      <c r="H36" s="6"/>
    </row>
    <row r="37" spans="2:10" ht="15" x14ac:dyDescent="0.35">
      <c r="B37" s="26" t="s">
        <v>139</v>
      </c>
      <c r="C37" s="34"/>
      <c r="D37" s="12">
        <v>0</v>
      </c>
      <c r="E37" s="40" t="str">
        <f t="shared" ref="E37" si="6">IF(D37=0," ",D37/$D$39)</f>
        <v xml:space="preserve"> </v>
      </c>
      <c r="F37" s="17" t="str">
        <f t="shared" ref="F37" si="7">IF(D37=0," ",D37/$C$13)</f>
        <v xml:space="preserve"> </v>
      </c>
      <c r="H37" s="112" t="s">
        <v>148</v>
      </c>
    </row>
    <row r="38" spans="2:10" ht="15.45" x14ac:dyDescent="0.4">
      <c r="B38" s="108" t="s">
        <v>140</v>
      </c>
      <c r="C38" s="34" t="s">
        <v>30</v>
      </c>
      <c r="D38" s="12">
        <v>1100</v>
      </c>
      <c r="E38" s="40">
        <f>IF(D38=0," ",D38/$D$39)</f>
        <v>0.13535129814199581</v>
      </c>
      <c r="F38" s="17">
        <f t="shared" si="5"/>
        <v>11</v>
      </c>
      <c r="H38" s="6"/>
    </row>
    <row r="39" spans="2:10" ht="15.45" x14ac:dyDescent="0.4">
      <c r="B39" s="2" t="s">
        <v>118</v>
      </c>
      <c r="C39" s="34" t="s">
        <v>30</v>
      </c>
      <c r="D39" s="13">
        <f>SUM(D25+SUM(D27:D35)+D37+D38)</f>
        <v>8127</v>
      </c>
      <c r="E39" s="121">
        <f>IF(D39=0," ",D39/$D$39)</f>
        <v>1</v>
      </c>
      <c r="F39" s="13">
        <f>SUM(F25+SUM(F27:F38))</f>
        <v>151.54</v>
      </c>
      <c r="H39" s="6"/>
      <c r="J39" s="2"/>
    </row>
    <row r="40" spans="2:10" ht="15.45" x14ac:dyDescent="0.4">
      <c r="B40" s="2"/>
      <c r="C40" s="34"/>
      <c r="D40" s="13"/>
      <c r="E40" s="40"/>
      <c r="F40" s="13"/>
      <c r="H40" s="6"/>
      <c r="J40" s="2" t="s">
        <v>0</v>
      </c>
    </row>
    <row r="41" spans="2:10" ht="15.45" x14ac:dyDescent="0.4">
      <c r="B41" s="2"/>
      <c r="C41" s="3"/>
      <c r="D41" s="2" t="s">
        <v>144</v>
      </c>
      <c r="E41" s="8"/>
      <c r="H41" s="4" t="s">
        <v>132</v>
      </c>
      <c r="I41" s="112">
        <f>D39-D25</f>
        <v>2392</v>
      </c>
      <c r="J41" s="112">
        <f>I41/C21</f>
        <v>23.92</v>
      </c>
    </row>
    <row r="42" spans="2:10" ht="15.45" x14ac:dyDescent="0.4">
      <c r="B42" s="2"/>
      <c r="C42" s="3"/>
      <c r="D42" s="41" t="s">
        <v>2</v>
      </c>
      <c r="E42" s="123"/>
      <c r="F42" s="2" t="s">
        <v>142</v>
      </c>
      <c r="H42" s="6"/>
    </row>
    <row r="43" spans="2:10" ht="15.45" x14ac:dyDescent="0.4">
      <c r="B43" s="2" t="s">
        <v>143</v>
      </c>
      <c r="C43" s="10"/>
      <c r="D43" s="42">
        <f>IF(D13=0,0,D39/D13)</f>
        <v>5.2432258064516131E-2</v>
      </c>
      <c r="E43" s="5"/>
      <c r="F43" s="121">
        <f>D36/D13</f>
        <v>4.5335483870967745E-2</v>
      </c>
      <c r="H43" s="6"/>
    </row>
    <row r="44" spans="2:10" ht="15.45" x14ac:dyDescent="0.4">
      <c r="B44" s="2"/>
      <c r="C44" s="10"/>
      <c r="D44" s="29"/>
      <c r="F44" s="5"/>
      <c r="H44" s="6"/>
    </row>
    <row r="45" spans="2:10" ht="15.45" x14ac:dyDescent="0.4">
      <c r="B45" s="2" t="s">
        <v>141</v>
      </c>
      <c r="C45" s="10"/>
      <c r="D45" s="30" t="s">
        <v>2</v>
      </c>
      <c r="F45" s="31" t="s">
        <v>0</v>
      </c>
      <c r="H45" s="6"/>
    </row>
    <row r="46" spans="2:10" ht="15.45" x14ac:dyDescent="0.4">
      <c r="B46" s="2" t="s">
        <v>16</v>
      </c>
      <c r="C46" s="34" t="s">
        <v>30</v>
      </c>
      <c r="D46" s="114">
        <f>D13</f>
        <v>155000</v>
      </c>
      <c r="E46" s="115"/>
      <c r="F46" s="116">
        <f t="shared" ref="F46:F48" si="8">IF(D46=0," ",D46/$C$13)</f>
        <v>1550</v>
      </c>
      <c r="H46" s="6"/>
    </row>
    <row r="47" spans="2:10" ht="15.45" x14ac:dyDescent="0.4">
      <c r="B47" s="2" t="s">
        <v>15</v>
      </c>
      <c r="C47" s="34" t="s">
        <v>30</v>
      </c>
      <c r="D47" s="114">
        <f>D39</f>
        <v>8127</v>
      </c>
      <c r="E47" s="117"/>
      <c r="F47" s="116">
        <f t="shared" si="8"/>
        <v>81.27</v>
      </c>
      <c r="H47" s="6"/>
    </row>
    <row r="48" spans="2:10" ht="15.45" x14ac:dyDescent="0.4">
      <c r="B48" s="28" t="s">
        <v>117</v>
      </c>
      <c r="C48" s="86" t="s">
        <v>30</v>
      </c>
      <c r="D48" s="118">
        <f>D46-D47</f>
        <v>146873</v>
      </c>
      <c r="E48" s="119"/>
      <c r="F48" s="120">
        <f t="shared" si="8"/>
        <v>1468.73</v>
      </c>
      <c r="H48" s="6"/>
    </row>
    <row r="49" spans="2:6" ht="14.15" x14ac:dyDescent="0.35">
      <c r="B49" s="135" t="s">
        <v>151</v>
      </c>
      <c r="C49" s="133"/>
      <c r="D49" s="133"/>
      <c r="E49" s="133"/>
      <c r="F49" s="134"/>
    </row>
    <row r="50" spans="2:6" ht="15.45" x14ac:dyDescent="0.35">
      <c r="B50" s="125"/>
      <c r="C50" s="1"/>
      <c r="D50" s="1"/>
      <c r="E50" s="1"/>
      <c r="F50" s="1"/>
    </row>
  </sheetData>
  <sheetProtection sheet="1" objects="1" scenarios="1"/>
  <mergeCells count="3">
    <mergeCell ref="B1:F1"/>
    <mergeCell ref="B3:C3"/>
    <mergeCell ref="B49:F49"/>
  </mergeCells>
  <pageMargins left="0.7" right="0.7" top="0.75" bottom="0.75" header="0.3" footer="0.3"/>
  <pageSetup scale="91" orientation="portrait" horizontalDpi="4294967295" verticalDpi="4294967295" r:id="rId1"/>
  <headerFooter>
    <oddFooter>&amp;L&amp;F&amp;R&amp;A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98F7B-553C-4679-8D01-86E9242284D3}">
  <dimension ref="B1:G18"/>
  <sheetViews>
    <sheetView workbookViewId="0">
      <selection activeCell="B8" sqref="B8"/>
    </sheetView>
  </sheetViews>
  <sheetFormatPr defaultRowHeight="12.45" x14ac:dyDescent="0.3"/>
  <cols>
    <col min="1" max="1" width="7.3828125" customWidth="1"/>
    <col min="2" max="2" width="13.53515625" customWidth="1"/>
    <col min="3" max="3" width="17.921875" customWidth="1"/>
    <col min="4" max="4" width="13.15234375" customWidth="1"/>
    <col min="5" max="5" width="24.61328125" customWidth="1"/>
  </cols>
  <sheetData>
    <row r="1" spans="2:7" ht="15.45" x14ac:dyDescent="0.4">
      <c r="B1" s="136" t="s">
        <v>17</v>
      </c>
      <c r="C1" s="131"/>
      <c r="D1" s="131"/>
      <c r="E1" s="131"/>
    </row>
    <row r="3" spans="2:7" ht="15" x14ac:dyDescent="0.35">
      <c r="B3" s="44"/>
      <c r="C3" s="45"/>
      <c r="D3" s="45"/>
      <c r="E3" s="45"/>
      <c r="F3" s="45"/>
      <c r="G3" s="45"/>
    </row>
    <row r="4" spans="2:7" ht="15.9" thickBot="1" x14ac:dyDescent="0.45">
      <c r="B4" s="2" t="s">
        <v>18</v>
      </c>
      <c r="C4" s="3"/>
      <c r="D4" s="3"/>
      <c r="E4" s="3"/>
    </row>
    <row r="5" spans="2:7" ht="15.9" thickTop="1" thickBot="1" x14ac:dyDescent="0.4">
      <c r="B5" s="46"/>
      <c r="C5" s="47"/>
      <c r="D5" s="48">
        <v>150</v>
      </c>
      <c r="E5" s="49" t="s">
        <v>19</v>
      </c>
    </row>
    <row r="6" spans="2:7" ht="15.9" thickTop="1" thickBot="1" x14ac:dyDescent="0.4">
      <c r="B6" s="50">
        <v>1.81</v>
      </c>
      <c r="C6" s="51" t="s">
        <v>20</v>
      </c>
      <c r="D6" s="52">
        <f>B6*D5</f>
        <v>271.5</v>
      </c>
      <c r="E6" s="53" t="s">
        <v>21</v>
      </c>
    </row>
    <row r="7" spans="2:7" ht="15.9" thickTop="1" thickBot="1" x14ac:dyDescent="0.4">
      <c r="B7" s="48">
        <v>1000</v>
      </c>
      <c r="C7" s="51" t="s">
        <v>22</v>
      </c>
      <c r="D7" s="52"/>
      <c r="E7" s="53"/>
    </row>
    <row r="8" spans="2:7" ht="15.9" thickTop="1" thickBot="1" x14ac:dyDescent="0.4">
      <c r="B8" s="48">
        <v>20</v>
      </c>
      <c r="C8" s="54" t="s">
        <v>23</v>
      </c>
      <c r="D8" s="55">
        <f>D6/B8</f>
        <v>13.574999999999999</v>
      </c>
      <c r="E8" s="56" t="s">
        <v>24</v>
      </c>
    </row>
    <row r="9" spans="2:7" ht="15.45" thickTop="1" x14ac:dyDescent="0.35">
      <c r="B9" s="3"/>
      <c r="C9" s="3"/>
      <c r="D9" s="3"/>
      <c r="E9" s="3"/>
      <c r="F9" s="3"/>
    </row>
    <row r="10" spans="2:7" ht="15" x14ac:dyDescent="0.35">
      <c r="B10" s="3"/>
      <c r="C10" s="3"/>
      <c r="D10" s="3"/>
      <c r="E10" s="3"/>
      <c r="F10" s="3"/>
    </row>
    <row r="11" spans="2:7" ht="15.9" thickBot="1" x14ac:dyDescent="0.45">
      <c r="B11" s="2" t="s">
        <v>25</v>
      </c>
      <c r="C11" s="3"/>
      <c r="D11" s="3"/>
      <c r="E11" s="3"/>
      <c r="F11" s="3"/>
    </row>
    <row r="12" spans="2:7" ht="15.9" thickTop="1" thickBot="1" x14ac:dyDescent="0.4">
      <c r="B12" s="46"/>
      <c r="C12" s="47"/>
      <c r="D12" s="48">
        <v>150</v>
      </c>
      <c r="E12" s="49" t="s">
        <v>26</v>
      </c>
      <c r="F12" s="3"/>
    </row>
    <row r="13" spans="2:7" ht="15.9" thickTop="1" thickBot="1" x14ac:dyDescent="0.4">
      <c r="B13" s="50">
        <v>3.75</v>
      </c>
      <c r="C13" s="51" t="s">
        <v>27</v>
      </c>
      <c r="D13" s="52">
        <f>B13*D12</f>
        <v>562.5</v>
      </c>
      <c r="E13" s="53" t="s">
        <v>21</v>
      </c>
      <c r="F13" s="3"/>
    </row>
    <row r="14" spans="2:7" ht="15.9" thickTop="1" thickBot="1" x14ac:dyDescent="0.4">
      <c r="B14" s="57"/>
      <c r="C14" s="51"/>
      <c r="D14" s="52"/>
      <c r="E14" s="53"/>
      <c r="F14" s="3"/>
    </row>
    <row r="15" spans="2:7" ht="15.9" thickTop="1" thickBot="1" x14ac:dyDescent="0.4">
      <c r="B15" s="48">
        <v>50000</v>
      </c>
      <c r="C15" s="51" t="s">
        <v>28</v>
      </c>
      <c r="D15" s="58">
        <f>D13/B17</f>
        <v>11.25</v>
      </c>
      <c r="E15" s="53" t="s">
        <v>24</v>
      </c>
      <c r="F15" s="3"/>
    </row>
    <row r="16" spans="2:7" ht="15.9" thickTop="1" thickBot="1" x14ac:dyDescent="0.4">
      <c r="B16" s="48">
        <v>1000</v>
      </c>
      <c r="C16" s="51" t="s">
        <v>22</v>
      </c>
      <c r="D16" s="51"/>
      <c r="E16" s="53"/>
      <c r="F16" s="3"/>
    </row>
    <row r="17" spans="2:6" ht="15.9" thickTop="1" thickBot="1" x14ac:dyDescent="0.4">
      <c r="B17" s="59">
        <f>B15/B16</f>
        <v>50</v>
      </c>
      <c r="C17" s="54" t="s">
        <v>23</v>
      </c>
      <c r="D17" s="55"/>
      <c r="E17" s="56"/>
      <c r="F17" s="3"/>
    </row>
    <row r="18" spans="2:6" ht="15.45" thickTop="1" x14ac:dyDescent="0.35">
      <c r="B18" s="3"/>
      <c r="C18" s="3"/>
      <c r="D18" s="3"/>
      <c r="E18" s="3"/>
      <c r="F18" s="3"/>
    </row>
  </sheetData>
  <sheetProtection sheet="1" objects="1" scenarios="1"/>
  <mergeCells count="1">
    <mergeCell ref="B1:E1"/>
  </mergeCells>
  <pageMargins left="0.95" right="0.5" top="0.75" bottom="0.75" header="0.3" footer="0.3"/>
  <pageSetup orientation="portrait" horizontalDpi="4294967295" verticalDpi="4294967295" r:id="rId1"/>
  <headerFooter>
    <oddFooter>&amp;L&amp;F&amp;R&amp;A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D6A5D-42C1-4D55-8078-D9B1DC8B9BD5}">
  <dimension ref="A1:H70"/>
  <sheetViews>
    <sheetView topLeftCell="A5" workbookViewId="0">
      <selection activeCell="G70" sqref="G70"/>
    </sheetView>
  </sheetViews>
  <sheetFormatPr defaultRowHeight="12.45" x14ac:dyDescent="0.3"/>
  <cols>
    <col min="1" max="1" width="4.921875" customWidth="1"/>
    <col min="2" max="2" width="33.07421875" customWidth="1"/>
    <col min="5" max="5" width="11.69140625" customWidth="1"/>
    <col min="6" max="6" width="16.3828125" customWidth="1"/>
    <col min="7" max="7" width="12.765625" customWidth="1"/>
  </cols>
  <sheetData>
    <row r="1" spans="2:8" ht="17.600000000000001" x14ac:dyDescent="0.4">
      <c r="B1" s="137" t="s">
        <v>32</v>
      </c>
      <c r="C1" s="137"/>
      <c r="D1" s="137"/>
      <c r="E1" s="137"/>
      <c r="F1" s="137"/>
      <c r="G1" s="137"/>
    </row>
    <row r="2" spans="2:8" ht="15" x14ac:dyDescent="0.35">
      <c r="B2" s="62"/>
      <c r="C2" s="62"/>
      <c r="D2" s="62"/>
      <c r="E2" s="62"/>
      <c r="F2" s="62"/>
      <c r="G2" s="62"/>
    </row>
    <row r="3" spans="2:8" ht="15" x14ac:dyDescent="0.35">
      <c r="B3" s="63" t="s">
        <v>33</v>
      </c>
      <c r="C3" s="138" t="s">
        <v>34</v>
      </c>
      <c r="D3" s="139"/>
      <c r="E3" s="139"/>
      <c r="F3" t="s">
        <v>35</v>
      </c>
      <c r="G3" s="64">
        <f ca="1">NOW()</f>
        <v>43474.711489583337</v>
      </c>
    </row>
    <row r="4" spans="2:8" ht="15" x14ac:dyDescent="0.35">
      <c r="B4" s="62"/>
      <c r="C4" s="62"/>
      <c r="D4" s="62"/>
      <c r="E4" s="65" t="s">
        <v>36</v>
      </c>
      <c r="F4" s="65" t="s">
        <v>37</v>
      </c>
      <c r="G4" s="62"/>
    </row>
    <row r="5" spans="2:8" ht="15.45" x14ac:dyDescent="0.4">
      <c r="B5" s="66" t="s">
        <v>38</v>
      </c>
      <c r="C5" s="65" t="s">
        <v>39</v>
      </c>
      <c r="D5" s="62"/>
      <c r="E5" s="65" t="s">
        <v>40</v>
      </c>
      <c r="F5" s="65" t="s">
        <v>40</v>
      </c>
      <c r="G5" s="62"/>
    </row>
    <row r="6" spans="2:8" ht="15" x14ac:dyDescent="0.35">
      <c r="B6" s="67" t="s">
        <v>41</v>
      </c>
      <c r="C6" s="68" t="s">
        <v>42</v>
      </c>
      <c r="D6" s="62"/>
      <c r="E6" s="69" t="s">
        <v>43</v>
      </c>
      <c r="F6" s="69" t="s">
        <v>43</v>
      </c>
      <c r="G6" s="62"/>
    </row>
    <row r="7" spans="2:8" ht="15" x14ac:dyDescent="0.35">
      <c r="B7" s="62" t="s">
        <v>44</v>
      </c>
      <c r="C7" s="68" t="s">
        <v>45</v>
      </c>
      <c r="D7" s="62"/>
      <c r="E7" s="70">
        <v>60000</v>
      </c>
      <c r="F7" s="70">
        <v>4000</v>
      </c>
      <c r="G7" s="62"/>
      <c r="H7" t="s">
        <v>46</v>
      </c>
    </row>
    <row r="8" spans="2:8" ht="15" x14ac:dyDescent="0.35">
      <c r="B8" s="62" t="s">
        <v>47</v>
      </c>
      <c r="C8" s="65" t="s">
        <v>48</v>
      </c>
      <c r="D8" s="62"/>
      <c r="E8" s="71">
        <v>100000</v>
      </c>
      <c r="F8" s="71">
        <v>50000</v>
      </c>
      <c r="G8" s="62"/>
    </row>
    <row r="9" spans="2:8" ht="15" x14ac:dyDescent="0.35">
      <c r="B9" s="62" t="s">
        <v>49</v>
      </c>
      <c r="C9" s="65" t="s">
        <v>48</v>
      </c>
      <c r="D9" s="62"/>
      <c r="E9" s="71">
        <v>0</v>
      </c>
      <c r="F9" s="71">
        <v>10000</v>
      </c>
      <c r="G9" s="62"/>
    </row>
    <row r="10" spans="2:8" ht="15" x14ac:dyDescent="0.35">
      <c r="B10" s="62" t="s">
        <v>50</v>
      </c>
      <c r="C10" s="65" t="s">
        <v>45</v>
      </c>
      <c r="D10" s="62"/>
      <c r="E10" s="70">
        <v>7000</v>
      </c>
      <c r="F10" s="70">
        <v>500</v>
      </c>
      <c r="G10" s="62"/>
    </row>
    <row r="11" spans="2:8" ht="15" x14ac:dyDescent="0.35">
      <c r="B11" s="62" t="s">
        <v>51</v>
      </c>
      <c r="C11" s="65" t="s">
        <v>48</v>
      </c>
      <c r="D11" s="62"/>
      <c r="E11" s="71">
        <v>20000</v>
      </c>
      <c r="F11" s="71">
        <v>1000</v>
      </c>
      <c r="G11" s="62"/>
    </row>
    <row r="12" spans="2:8" ht="15" x14ac:dyDescent="0.35">
      <c r="B12" s="62" t="s">
        <v>52</v>
      </c>
      <c r="C12" s="65" t="s">
        <v>53</v>
      </c>
      <c r="D12" s="62"/>
      <c r="E12" s="71">
        <v>12</v>
      </c>
      <c r="F12" s="71">
        <v>6</v>
      </c>
      <c r="G12" s="62"/>
      <c r="H12" t="s">
        <v>46</v>
      </c>
    </row>
    <row r="13" spans="2:8" ht="15" x14ac:dyDescent="0.35">
      <c r="B13" s="62" t="s">
        <v>54</v>
      </c>
      <c r="C13" s="65" t="s">
        <v>55</v>
      </c>
      <c r="D13" s="62"/>
      <c r="E13" s="72">
        <v>3.1</v>
      </c>
      <c r="F13" s="73">
        <f>E13</f>
        <v>3.1</v>
      </c>
      <c r="G13" s="62"/>
      <c r="H13" t="s">
        <v>56</v>
      </c>
    </row>
    <row r="14" spans="2:8" ht="15" x14ac:dyDescent="0.35">
      <c r="B14" s="62" t="s">
        <v>57</v>
      </c>
      <c r="C14" s="65" t="s">
        <v>58</v>
      </c>
      <c r="D14" s="62"/>
      <c r="E14" s="74">
        <v>6</v>
      </c>
      <c r="F14" s="75">
        <f>E14</f>
        <v>6</v>
      </c>
      <c r="G14" s="62"/>
    </row>
    <row r="15" spans="2:8" ht="15" x14ac:dyDescent="0.35">
      <c r="B15" s="62" t="s">
        <v>59</v>
      </c>
      <c r="C15" s="65" t="s">
        <v>45</v>
      </c>
      <c r="D15" s="62"/>
      <c r="E15" s="70">
        <v>0</v>
      </c>
      <c r="F15" s="70">
        <v>0</v>
      </c>
      <c r="G15" s="62"/>
    </row>
    <row r="16" spans="2:8" ht="15" x14ac:dyDescent="0.35">
      <c r="B16" s="62" t="s">
        <v>60</v>
      </c>
      <c r="C16" s="65" t="s">
        <v>45</v>
      </c>
      <c r="D16" s="62"/>
      <c r="E16" s="70">
        <v>60</v>
      </c>
      <c r="F16" s="70">
        <v>30</v>
      </c>
      <c r="G16" s="62"/>
      <c r="H16" t="s">
        <v>46</v>
      </c>
    </row>
    <row r="17" spans="2:8" ht="15" x14ac:dyDescent="0.35">
      <c r="B17" s="69" t="s">
        <v>61</v>
      </c>
      <c r="C17" s="65" t="s">
        <v>45</v>
      </c>
      <c r="D17" s="62"/>
      <c r="E17" s="70">
        <v>450</v>
      </c>
      <c r="F17" s="70">
        <v>50</v>
      </c>
      <c r="G17" s="62"/>
      <c r="H17" t="s">
        <v>46</v>
      </c>
    </row>
    <row r="18" spans="2:8" ht="15" x14ac:dyDescent="0.35">
      <c r="B18" s="62" t="s">
        <v>62</v>
      </c>
      <c r="C18" s="65" t="s">
        <v>45</v>
      </c>
      <c r="D18" s="62"/>
      <c r="E18" s="70">
        <v>600</v>
      </c>
      <c r="F18" s="70">
        <v>200</v>
      </c>
      <c r="G18" s="62"/>
      <c r="H18" t="s">
        <v>46</v>
      </c>
    </row>
    <row r="19" spans="2:8" ht="15" x14ac:dyDescent="0.35">
      <c r="B19" s="62" t="s">
        <v>63</v>
      </c>
      <c r="C19" s="65" t="s">
        <v>48</v>
      </c>
      <c r="D19" s="62"/>
      <c r="E19" s="71">
        <v>25000</v>
      </c>
      <c r="F19" s="71">
        <v>20000</v>
      </c>
      <c r="G19" s="62"/>
    </row>
    <row r="20" spans="2:8" ht="15" x14ac:dyDescent="0.35">
      <c r="B20" s="69" t="s">
        <v>64</v>
      </c>
      <c r="C20" s="65" t="s">
        <v>45</v>
      </c>
      <c r="D20" s="62"/>
      <c r="E20" s="70">
        <v>600</v>
      </c>
      <c r="F20" s="70">
        <v>100</v>
      </c>
      <c r="G20" s="62"/>
      <c r="H20" t="s">
        <v>46</v>
      </c>
    </row>
    <row r="21" spans="2:8" ht="15" x14ac:dyDescent="0.35">
      <c r="B21" s="67" t="s">
        <v>65</v>
      </c>
      <c r="C21" s="67"/>
      <c r="D21" s="67"/>
      <c r="E21" s="67"/>
      <c r="F21" s="67"/>
      <c r="G21" s="67"/>
    </row>
    <row r="22" spans="2:8" ht="17.600000000000001" x14ac:dyDescent="0.4">
      <c r="B22" s="137" t="s">
        <v>66</v>
      </c>
      <c r="C22" s="137"/>
      <c r="D22" s="137"/>
      <c r="E22" s="137"/>
      <c r="F22" s="137"/>
      <c r="G22" s="137"/>
    </row>
    <row r="23" spans="2:8" ht="15" x14ac:dyDescent="0.35">
      <c r="B23" s="62"/>
      <c r="C23" s="62"/>
      <c r="D23" s="62"/>
      <c r="E23" s="65" t="s">
        <v>36</v>
      </c>
      <c r="F23" s="65" t="s">
        <v>37</v>
      </c>
      <c r="G23" s="65" t="s">
        <v>67</v>
      </c>
    </row>
    <row r="24" spans="2:8" ht="15.45" x14ac:dyDescent="0.4">
      <c r="B24" s="66" t="s">
        <v>68</v>
      </c>
      <c r="C24" s="65" t="s">
        <v>39</v>
      </c>
      <c r="D24" s="62"/>
      <c r="E24" s="65" t="s">
        <v>40</v>
      </c>
      <c r="F24" s="65" t="s">
        <v>40</v>
      </c>
      <c r="G24" s="65" t="s">
        <v>69</v>
      </c>
    </row>
    <row r="25" spans="2:8" ht="15" x14ac:dyDescent="0.35">
      <c r="B25" s="67" t="s">
        <v>41</v>
      </c>
      <c r="C25" s="68" t="s">
        <v>42</v>
      </c>
      <c r="D25" s="62"/>
      <c r="E25" s="69" t="s">
        <v>70</v>
      </c>
      <c r="F25" s="69" t="s">
        <v>70</v>
      </c>
      <c r="G25" s="69" t="s">
        <v>70</v>
      </c>
    </row>
    <row r="26" spans="2:8" ht="15.45" x14ac:dyDescent="0.4">
      <c r="B26" s="76" t="s">
        <v>71</v>
      </c>
      <c r="C26" s="65"/>
      <c r="D26" s="62"/>
      <c r="E26" s="62"/>
      <c r="F26" s="62"/>
      <c r="G26" s="62"/>
    </row>
    <row r="27" spans="2:8" ht="15" x14ac:dyDescent="0.35">
      <c r="B27" s="62" t="s">
        <v>72</v>
      </c>
      <c r="C27" s="68" t="s">
        <v>73</v>
      </c>
      <c r="D27" s="62"/>
      <c r="E27" s="77">
        <f>IF(E12=0,0,E13/E12)</f>
        <v>0.25833333333333336</v>
      </c>
      <c r="F27" s="77">
        <f>IF(F12=0,0,F13/F12)</f>
        <v>0.51666666666666672</v>
      </c>
      <c r="G27" s="77">
        <f>IF(F7=0,E27,F27)</f>
        <v>0.51666666666666672</v>
      </c>
    </row>
    <row r="28" spans="2:8" ht="15" x14ac:dyDescent="0.35">
      <c r="B28" s="62" t="s">
        <v>74</v>
      </c>
      <c r="C28" s="68" t="s">
        <v>73</v>
      </c>
      <c r="D28" s="62"/>
      <c r="E28" s="77">
        <f>IF(E19=0,0,E18/E19)</f>
        <v>2.4E-2</v>
      </c>
      <c r="F28" s="77">
        <f>IF(F19=0,0,F18/F19)</f>
        <v>0.01</v>
      </c>
      <c r="G28" s="77">
        <f>(E28+F28)</f>
        <v>3.4000000000000002E-2</v>
      </c>
    </row>
    <row r="29" spans="2:8" ht="15" x14ac:dyDescent="0.35">
      <c r="B29" s="62" t="s">
        <v>75</v>
      </c>
      <c r="C29" s="68" t="s">
        <v>73</v>
      </c>
      <c r="D29" s="62"/>
      <c r="E29" s="77">
        <f>IF(E11=0,0,E20/E11)</f>
        <v>0.03</v>
      </c>
      <c r="F29" s="77">
        <f>IF(F11=0,0,F20/F11)</f>
        <v>0.1</v>
      </c>
      <c r="G29" s="77">
        <f>(E29+F29)</f>
        <v>0.13</v>
      </c>
    </row>
    <row r="30" spans="2:8" ht="15" x14ac:dyDescent="0.35">
      <c r="B30" s="62"/>
      <c r="C30" s="65"/>
      <c r="D30" s="62"/>
      <c r="E30" s="78" t="s">
        <v>76</v>
      </c>
      <c r="F30" s="78" t="s">
        <v>76</v>
      </c>
      <c r="G30" s="78" t="s">
        <v>76</v>
      </c>
    </row>
    <row r="31" spans="2:8" ht="15" x14ac:dyDescent="0.35">
      <c r="B31" s="69" t="s">
        <v>77</v>
      </c>
      <c r="C31" s="68" t="s">
        <v>73</v>
      </c>
      <c r="D31" s="62"/>
      <c r="E31" s="79">
        <f>SUM(E27:E29)</f>
        <v>0.31233333333333335</v>
      </c>
      <c r="F31" s="79">
        <f>SUM(F27:F29)</f>
        <v>0.62666666666666671</v>
      </c>
      <c r="G31" s="79">
        <f>SUM(G27:G29)</f>
        <v>0.68066666666666675</v>
      </c>
    </row>
    <row r="32" spans="2:8" ht="15" x14ac:dyDescent="0.35">
      <c r="B32" s="69" t="s">
        <v>78</v>
      </c>
      <c r="C32" s="65" t="s">
        <v>45</v>
      </c>
      <c r="D32" s="62"/>
      <c r="E32" s="80">
        <f>(E31*E11)</f>
        <v>6246.666666666667</v>
      </c>
      <c r="F32" s="80">
        <f>(F31*F11)</f>
        <v>626.66666666666674</v>
      </c>
      <c r="G32" s="80">
        <f>(E32+F32)</f>
        <v>6873.3333333333339</v>
      </c>
    </row>
    <row r="33" spans="2:7" ht="15" x14ac:dyDescent="0.35">
      <c r="B33" s="81"/>
      <c r="C33" s="65"/>
      <c r="D33" s="62"/>
      <c r="E33" s="62"/>
      <c r="F33" s="62"/>
      <c r="G33" s="62"/>
    </row>
    <row r="34" spans="2:7" ht="15.45" x14ac:dyDescent="0.4">
      <c r="B34" s="76" t="s">
        <v>79</v>
      </c>
      <c r="C34" s="65"/>
      <c r="D34" s="62"/>
      <c r="E34" s="62"/>
      <c r="F34" s="62"/>
      <c r="G34" s="62"/>
    </row>
    <row r="35" spans="2:7" ht="15" x14ac:dyDescent="0.35">
      <c r="B35" s="62" t="s">
        <v>80</v>
      </c>
      <c r="C35" s="68" t="s">
        <v>73</v>
      </c>
      <c r="D35" s="62"/>
      <c r="E35" s="77">
        <f>IF(E11=0,0,E16/E11)</f>
        <v>3.0000000000000001E-3</v>
      </c>
      <c r="F35" s="77">
        <f>IF(F11=0,0,F16/F11)</f>
        <v>0.03</v>
      </c>
      <c r="G35" s="77">
        <f>(E35+F35)</f>
        <v>3.3000000000000002E-2</v>
      </c>
    </row>
    <row r="36" spans="2:7" ht="15" x14ac:dyDescent="0.35">
      <c r="B36" s="62" t="s">
        <v>81</v>
      </c>
      <c r="C36" s="68" t="s">
        <v>73</v>
      </c>
      <c r="D36" s="62"/>
      <c r="E36" s="77">
        <f>IF(E11=0,0,E17/E11)</f>
        <v>2.2499999999999999E-2</v>
      </c>
      <c r="F36" s="77">
        <f>IF(F11=0,0,F17/F11)</f>
        <v>0.05</v>
      </c>
      <c r="G36" s="77">
        <f>(E36+F36)</f>
        <v>7.2500000000000009E-2</v>
      </c>
    </row>
    <row r="37" spans="2:7" ht="15" x14ac:dyDescent="0.35">
      <c r="B37" s="62" t="s">
        <v>82</v>
      </c>
      <c r="C37" s="68" t="s">
        <v>73</v>
      </c>
      <c r="D37" s="62"/>
      <c r="E37" s="77">
        <f>IF(E11=0,0,(E7-(((E7-E10)*(E11/(E8-E9))/2)))*E14*0.01/E11)</f>
        <v>0.1641</v>
      </c>
      <c r="F37" s="77">
        <f>IF(F11=0,0,(F7-(((F7-F10)*(F11/(F8-F9))/2)))*F14*0.01/F11)</f>
        <v>0.237375</v>
      </c>
      <c r="G37" s="77">
        <f>(E37+F37)</f>
        <v>0.40147500000000003</v>
      </c>
    </row>
    <row r="38" spans="2:7" ht="15" x14ac:dyDescent="0.35">
      <c r="B38" s="62" t="s">
        <v>83</v>
      </c>
      <c r="C38" s="68" t="s">
        <v>73</v>
      </c>
      <c r="D38" s="62"/>
      <c r="E38" s="77">
        <f>IF(E11=0,0,((E7-E10)*E11/(E8-E9))/E11)</f>
        <v>0.53</v>
      </c>
      <c r="F38" s="77">
        <f>IF(F11=0,0,((F7-F10)*F11/(F8-F9))/F11)</f>
        <v>8.7499999999999994E-2</v>
      </c>
      <c r="G38" s="77">
        <f>(E38+F38)</f>
        <v>0.61750000000000005</v>
      </c>
    </row>
    <row r="39" spans="2:7" ht="15" x14ac:dyDescent="0.35">
      <c r="B39" s="62"/>
      <c r="C39" s="65"/>
      <c r="D39" s="62"/>
      <c r="E39" s="78" t="s">
        <v>76</v>
      </c>
      <c r="F39" s="78" t="s">
        <v>76</v>
      </c>
      <c r="G39" s="78" t="s">
        <v>76</v>
      </c>
    </row>
    <row r="40" spans="2:7" ht="15" x14ac:dyDescent="0.35">
      <c r="B40" s="62" t="s">
        <v>84</v>
      </c>
      <c r="C40" s="68" t="s">
        <v>73</v>
      </c>
      <c r="D40" s="62"/>
      <c r="E40" s="79">
        <f>SUM(E35:E38)</f>
        <v>0.71960000000000002</v>
      </c>
      <c r="F40" s="79">
        <f>SUM(F35:F38)</f>
        <v>0.40487499999999998</v>
      </c>
      <c r="G40" s="79">
        <f>SUM(G35:G38)</f>
        <v>1.1244750000000001</v>
      </c>
    </row>
    <row r="41" spans="2:7" ht="15" x14ac:dyDescent="0.35">
      <c r="B41" s="62" t="s">
        <v>85</v>
      </c>
      <c r="C41" s="65" t="s">
        <v>45</v>
      </c>
      <c r="D41" s="62"/>
      <c r="E41" s="80">
        <f>(E40*E11)</f>
        <v>14392</v>
      </c>
      <c r="F41" s="80">
        <f>(F40*F11)</f>
        <v>404.875</v>
      </c>
      <c r="G41" s="80">
        <f>(E41+F41)</f>
        <v>14796.875</v>
      </c>
    </row>
    <row r="42" spans="2:7" ht="15" x14ac:dyDescent="0.35">
      <c r="B42" s="62"/>
      <c r="C42" s="65"/>
      <c r="D42" s="62"/>
      <c r="E42" s="62"/>
      <c r="F42" s="62"/>
      <c r="G42" s="62"/>
    </row>
    <row r="43" spans="2:7" ht="15.45" x14ac:dyDescent="0.4">
      <c r="B43" s="76" t="s">
        <v>86</v>
      </c>
      <c r="C43" s="66" t="s">
        <v>73</v>
      </c>
      <c r="D43" s="76"/>
      <c r="E43" s="82">
        <f>IF(E11=0,0,((E32+E41)/E11))</f>
        <v>1.0319333333333334</v>
      </c>
      <c r="F43" s="82">
        <f>IF(F11=0,0,((F32+F41)/F11))</f>
        <v>1.0315416666666668</v>
      </c>
      <c r="G43" s="82">
        <f>(G31+G40)</f>
        <v>1.8051416666666669</v>
      </c>
    </row>
    <row r="44" spans="2:7" ht="15" x14ac:dyDescent="0.35">
      <c r="B44" s="62" t="s">
        <v>87</v>
      </c>
      <c r="C44" s="65" t="s">
        <v>45</v>
      </c>
      <c r="D44" s="62"/>
      <c r="E44" s="80">
        <f>(E32+E41)</f>
        <v>20638.666666666668</v>
      </c>
      <c r="F44" s="80">
        <f>(F32+F41)</f>
        <v>1031.5416666666667</v>
      </c>
      <c r="G44" s="80">
        <f>(E44+F44)</f>
        <v>21670.208333333336</v>
      </c>
    </row>
    <row r="45" spans="2:7" ht="15" x14ac:dyDescent="0.35">
      <c r="B45" s="67" t="s">
        <v>41</v>
      </c>
      <c r="C45" s="67"/>
      <c r="D45" s="67"/>
      <c r="E45" s="67"/>
      <c r="F45" s="67"/>
      <c r="G45" s="67"/>
    </row>
    <row r="46" spans="2:7" ht="15.45" x14ac:dyDescent="0.4">
      <c r="B46" s="76" t="s">
        <v>88</v>
      </c>
      <c r="C46" s="66" t="s">
        <v>73</v>
      </c>
      <c r="D46" s="76"/>
      <c r="E46" s="82">
        <f>IF(E11=0,0,E47/E11)</f>
        <v>0.33783333333333337</v>
      </c>
      <c r="F46" s="82">
        <f>IF(F11=0,0,F47/F11)</f>
        <v>0.70666666666666678</v>
      </c>
      <c r="G46" s="82">
        <f>(E46+F46)</f>
        <v>1.0445000000000002</v>
      </c>
    </row>
    <row r="47" spans="2:7" ht="15" x14ac:dyDescent="0.35">
      <c r="B47" s="62" t="s">
        <v>89</v>
      </c>
      <c r="C47" s="65" t="s">
        <v>45</v>
      </c>
      <c r="D47" s="62"/>
      <c r="E47" s="80">
        <f>(E32+E15*12+E16+E17)</f>
        <v>6756.666666666667</v>
      </c>
      <c r="F47" s="80">
        <f>(F32+F15*12+F16+F17)</f>
        <v>706.66666666666674</v>
      </c>
      <c r="G47" s="80">
        <f>(E47+F47)</f>
        <v>7463.3333333333339</v>
      </c>
    </row>
    <row r="48" spans="2:7" ht="15" x14ac:dyDescent="0.35">
      <c r="B48" s="62"/>
      <c r="C48" s="62"/>
      <c r="D48" s="62"/>
      <c r="E48" s="79" t="s">
        <v>90</v>
      </c>
      <c r="F48" s="62"/>
      <c r="G48" s="62"/>
    </row>
    <row r="49" spans="2:8" ht="15" x14ac:dyDescent="0.35">
      <c r="B49" s="81" t="s">
        <v>91</v>
      </c>
      <c r="C49" s="62"/>
      <c r="D49" s="62"/>
      <c r="E49" s="62"/>
      <c r="F49" s="62"/>
      <c r="G49" s="62"/>
    </row>
    <row r="50" spans="2:8" ht="15" x14ac:dyDescent="0.35">
      <c r="B50" s="67" t="s">
        <v>65</v>
      </c>
      <c r="C50" s="67"/>
      <c r="D50" s="67"/>
      <c r="E50" s="67"/>
      <c r="F50" s="67"/>
      <c r="G50" s="67"/>
    </row>
    <row r="51" spans="2:8" ht="17.600000000000001" x14ac:dyDescent="0.4">
      <c r="B51" s="137" t="s">
        <v>92</v>
      </c>
      <c r="C51" s="137"/>
      <c r="D51" s="137"/>
      <c r="E51" s="137"/>
      <c r="F51" s="137"/>
      <c r="G51" s="137"/>
    </row>
    <row r="52" spans="2:8" ht="15" x14ac:dyDescent="0.35">
      <c r="B52" s="68" t="s">
        <v>38</v>
      </c>
      <c r="C52" s="65" t="s">
        <v>39</v>
      </c>
      <c r="D52" s="62"/>
      <c r="E52" s="65" t="s">
        <v>93</v>
      </c>
      <c r="F52" s="62"/>
      <c r="G52" s="62"/>
    </row>
    <row r="53" spans="2:8" ht="15" x14ac:dyDescent="0.35">
      <c r="B53" s="67" t="s">
        <v>41</v>
      </c>
      <c r="C53" s="68" t="s">
        <v>42</v>
      </c>
      <c r="D53" s="62"/>
      <c r="E53" s="63" t="s">
        <v>94</v>
      </c>
      <c r="F53" s="62"/>
      <c r="G53" s="62"/>
    </row>
    <row r="54" spans="2:8" ht="15" x14ac:dyDescent="0.35">
      <c r="B54" s="62" t="s">
        <v>95</v>
      </c>
      <c r="C54" s="65" t="s">
        <v>96</v>
      </c>
      <c r="D54" s="62"/>
      <c r="E54" s="71">
        <v>150</v>
      </c>
      <c r="F54" s="62"/>
      <c r="G54" s="62"/>
      <c r="H54" t="s">
        <v>46</v>
      </c>
    </row>
    <row r="55" spans="2:8" ht="15" x14ac:dyDescent="0.35">
      <c r="B55" s="62" t="s">
        <v>97</v>
      </c>
      <c r="C55" s="65" t="s">
        <v>98</v>
      </c>
      <c r="D55" s="62"/>
      <c r="E55" s="71">
        <v>5</v>
      </c>
      <c r="F55" s="62"/>
      <c r="G55" s="62"/>
      <c r="H55" t="s">
        <v>46</v>
      </c>
    </row>
    <row r="56" spans="2:8" ht="15" x14ac:dyDescent="0.35">
      <c r="B56" s="62" t="s">
        <v>99</v>
      </c>
      <c r="C56" s="68" t="s">
        <v>100</v>
      </c>
      <c r="D56" s="62"/>
      <c r="E56" s="72">
        <v>15</v>
      </c>
      <c r="F56" s="62"/>
      <c r="G56" s="62"/>
      <c r="H56" t="s">
        <v>46</v>
      </c>
    </row>
    <row r="57" spans="2:8" ht="15" x14ac:dyDescent="0.35">
      <c r="B57" s="69" t="s">
        <v>101</v>
      </c>
      <c r="C57" s="65" t="s">
        <v>98</v>
      </c>
      <c r="D57" s="62"/>
      <c r="E57" s="71">
        <v>0</v>
      </c>
      <c r="F57" s="62"/>
      <c r="G57" s="62"/>
      <c r="H57" t="s">
        <v>46</v>
      </c>
    </row>
    <row r="58" spans="2:8" ht="15" x14ac:dyDescent="0.35">
      <c r="B58" s="62" t="s">
        <v>102</v>
      </c>
      <c r="C58" s="68" t="s">
        <v>100</v>
      </c>
      <c r="D58" s="62"/>
      <c r="E58" s="72">
        <v>0</v>
      </c>
      <c r="F58" s="62"/>
      <c r="G58" s="62"/>
      <c r="H58" t="s">
        <v>46</v>
      </c>
    </row>
    <row r="59" spans="2:8" ht="15" x14ac:dyDescent="0.35">
      <c r="B59" s="62" t="s">
        <v>103</v>
      </c>
      <c r="C59" s="65" t="s">
        <v>39</v>
      </c>
      <c r="D59" s="62"/>
      <c r="E59" s="71">
        <v>20</v>
      </c>
      <c r="F59" s="62"/>
      <c r="G59" s="62"/>
      <c r="H59" t="s">
        <v>46</v>
      </c>
    </row>
    <row r="60" spans="2:8" ht="15" x14ac:dyDescent="0.35">
      <c r="B60" s="62"/>
      <c r="C60" s="62"/>
      <c r="D60" s="62"/>
      <c r="E60" s="68"/>
      <c r="F60" s="65"/>
      <c r="G60" s="62"/>
    </row>
    <row r="61" spans="2:8" ht="15" x14ac:dyDescent="0.35">
      <c r="B61" s="68" t="s">
        <v>68</v>
      </c>
      <c r="C61" s="65" t="s">
        <v>39</v>
      </c>
      <c r="D61" s="62"/>
      <c r="E61" s="68" t="s">
        <v>104</v>
      </c>
      <c r="F61" s="68" t="s">
        <v>105</v>
      </c>
      <c r="G61" s="62"/>
    </row>
    <row r="62" spans="2:8" ht="15" x14ac:dyDescent="0.35">
      <c r="B62" s="67" t="s">
        <v>41</v>
      </c>
      <c r="C62" s="68" t="s">
        <v>42</v>
      </c>
      <c r="D62" s="62"/>
      <c r="E62" s="69" t="s">
        <v>70</v>
      </c>
      <c r="F62" s="69" t="s">
        <v>70</v>
      </c>
      <c r="G62" s="62"/>
    </row>
    <row r="63" spans="2:8" ht="15" x14ac:dyDescent="0.35">
      <c r="B63" s="62" t="s">
        <v>106</v>
      </c>
      <c r="C63" s="65" t="s">
        <v>45</v>
      </c>
      <c r="D63" s="62"/>
      <c r="E63" s="79">
        <f>(G31*E54+E55*E56+E57*E58)</f>
        <v>177.10000000000002</v>
      </c>
      <c r="F63" s="79">
        <f>IF(E59=0,0,E63/E59)</f>
        <v>8.8550000000000004</v>
      </c>
      <c r="G63" s="62"/>
    </row>
    <row r="64" spans="2:8" ht="15" x14ac:dyDescent="0.35">
      <c r="B64" s="62" t="s">
        <v>84</v>
      </c>
      <c r="C64" s="65" t="s">
        <v>45</v>
      </c>
      <c r="D64" s="62"/>
      <c r="E64" s="79">
        <f>(G40*E54)</f>
        <v>168.67125000000001</v>
      </c>
      <c r="F64" s="79">
        <f>IF(E59=0,0,E64/E59)</f>
        <v>8.4335625000000007</v>
      </c>
      <c r="G64" s="62"/>
    </row>
    <row r="65" spans="1:7" ht="15.45" x14ac:dyDescent="0.4">
      <c r="A65" s="2"/>
      <c r="B65" s="76" t="s">
        <v>107</v>
      </c>
      <c r="C65" s="66" t="s">
        <v>45</v>
      </c>
      <c r="D65" s="76"/>
      <c r="E65" s="82">
        <f>SUM(E63:E64)</f>
        <v>345.77125000000001</v>
      </c>
      <c r="F65" s="82">
        <f>SUM(F63:F64)</f>
        <v>17.288562500000001</v>
      </c>
      <c r="G65" s="62"/>
    </row>
    <row r="66" spans="1:7" ht="15" x14ac:dyDescent="0.35">
      <c r="B66" s="62" t="s">
        <v>108</v>
      </c>
      <c r="C66" s="65"/>
      <c r="D66" s="62"/>
      <c r="E66" s="79" t="s">
        <v>90</v>
      </c>
      <c r="F66" s="79" t="s">
        <v>90</v>
      </c>
      <c r="G66" s="62"/>
    </row>
    <row r="67" spans="1:7" ht="15.45" x14ac:dyDescent="0.4">
      <c r="A67" s="2"/>
      <c r="B67" s="76" t="s">
        <v>109</v>
      </c>
      <c r="C67" s="66" t="s">
        <v>45</v>
      </c>
      <c r="D67" s="76"/>
      <c r="E67" s="82">
        <f>(G46*E54+E55*E56+E57*E58)</f>
        <v>231.67500000000004</v>
      </c>
      <c r="F67" s="82">
        <f>IF(E59=0,0,E67/E59)</f>
        <v>11.583750000000002</v>
      </c>
      <c r="G67" s="62"/>
    </row>
    <row r="68" spans="1:7" ht="15" x14ac:dyDescent="0.35">
      <c r="B68" s="83" t="s">
        <v>110</v>
      </c>
      <c r="C68" s="62"/>
      <c r="D68" s="62"/>
      <c r="E68" s="62"/>
      <c r="F68" s="62"/>
      <c r="G68" s="62"/>
    </row>
    <row r="69" spans="1:7" ht="15" x14ac:dyDescent="0.35">
      <c r="B69" s="126" t="s">
        <v>154</v>
      </c>
      <c r="C69" s="62"/>
      <c r="D69" s="62"/>
      <c r="E69" s="62"/>
      <c r="F69" s="62"/>
      <c r="G69" s="62"/>
    </row>
    <row r="70" spans="1:7" ht="15.45" x14ac:dyDescent="0.4">
      <c r="B70" s="127" t="s">
        <v>153</v>
      </c>
      <c r="C70" s="62"/>
      <c r="D70" s="62"/>
      <c r="E70" s="62"/>
      <c r="F70" s="62"/>
      <c r="G70" s="62"/>
    </row>
  </sheetData>
  <sheetProtection sheet="1" objects="1" scenarios="1"/>
  <mergeCells count="4">
    <mergeCell ref="B1:G1"/>
    <mergeCell ref="C3:E3"/>
    <mergeCell ref="B22:G22"/>
    <mergeCell ref="B51:G51"/>
  </mergeCells>
  <pageMargins left="0.95" right="0.45" top="0.75" bottom="0.75" header="0.3" footer="0.3"/>
  <pageSetup orientation="portrait" horizontalDpi="4294967295" verticalDpi="4294967295" r:id="rId1"/>
  <headerFoot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1.Replacement Sales Projection</vt:lpstr>
      <vt:lpstr>2. Replacement Sales Results</vt:lpstr>
      <vt:lpstr>3. Freight Cost</vt:lpstr>
      <vt:lpstr>4. Vehicle&amp;Trailer Cost</vt:lpstr>
      <vt:lpstr>'1.Replacement Sales Projection'!Print_Area</vt:lpstr>
      <vt:lpstr>'2. Replacement Sales Results'!Print_Area</vt:lpstr>
      <vt:lpstr>'3. Freight Cost'!Print_Area</vt:lpstr>
      <vt:lpstr>'4. Vehicle&amp;Trailer Cost'!Print_Area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McGrann</dc:creator>
  <cp:lastModifiedBy>Jim McGrann</cp:lastModifiedBy>
  <cp:lastPrinted>2019-01-04T22:07:52Z</cp:lastPrinted>
  <dcterms:created xsi:type="dcterms:W3CDTF">2004-03-18T15:16:20Z</dcterms:created>
  <dcterms:modified xsi:type="dcterms:W3CDTF">2019-01-09T23:05:02Z</dcterms:modified>
</cp:coreProperties>
</file>