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18 New 2018 B. Replacement Heifers\5. Repacement Heifer SPA\"/>
    </mc:Choice>
  </mc:AlternateContent>
  <xr:revisionPtr revIDLastSave="0" documentId="13_ncr:1_{25F40B15-A5DB-4BC0-BACC-7F4CDA7E266F}" xr6:coauthVersionLast="36" xr6:coauthVersionMax="36" xr10:uidLastSave="{00000000-0000-0000-0000-000000000000}"/>
  <bookViews>
    <workbookView xWindow="360" yWindow="17" windowWidth="11340" windowHeight="6540" tabRatio="967" xr2:uid="{00000000-000D-0000-FFFF-FFFF00000000}"/>
  </bookViews>
  <sheets>
    <sheet name="1. Repl. Heif. SPA ReproData " sheetId="2" r:id="rId1"/>
    <sheet name="2. SPA Performance Results" sheetId="6" r:id="rId2"/>
    <sheet name="3. SPA Performance Graphs" sheetId="8" r:id="rId3"/>
  </sheets>
  <definedNames>
    <definedName name="_xlnm.Print_Area" localSheetId="0">'1. Repl. Heif. SPA ReproData '!$A$1:$I$119</definedName>
    <definedName name="_xlnm.Print_Area" localSheetId="1">'2. SPA Performance Results'!$B$2:$G$32</definedName>
    <definedName name="_xlnm.Print_Area" localSheetId="2">'3. SPA Performance Graphs'!$B$3:$N$67</definedName>
  </definedNames>
  <calcPr calcId="162913" iterate="1" iterateCount="1"/>
</workbook>
</file>

<file path=xl/calcChain.xml><?xml version="1.0" encoding="utf-8"?>
<calcChain xmlns="http://schemas.openxmlformats.org/spreadsheetml/2006/main">
  <c r="D115" i="2" l="1"/>
  <c r="P63" i="2"/>
  <c r="F65" i="2" s="1"/>
  <c r="H30" i="2" l="1"/>
  <c r="H20" i="2"/>
  <c r="H54" i="2" s="1"/>
  <c r="C109" i="2"/>
  <c r="E10" i="6" s="1"/>
  <c r="E6" i="6" s="1"/>
  <c r="E112" i="2"/>
  <c r="F112" i="2" s="1"/>
  <c r="E113" i="2"/>
  <c r="F113" i="2" s="1"/>
  <c r="G25" i="6" s="1"/>
  <c r="F73" i="2"/>
  <c r="H69" i="2"/>
  <c r="F82" i="2" s="1"/>
  <c r="H67" i="2"/>
  <c r="E74" i="2" s="1"/>
  <c r="F14" i="2"/>
  <c r="F15" i="2" s="1"/>
  <c r="H9" i="2"/>
  <c r="H101" i="2"/>
  <c r="C105" i="2"/>
  <c r="D105" i="2"/>
  <c r="D62" i="2"/>
  <c r="C62" i="2"/>
  <c r="K101" i="2"/>
  <c r="H12" i="2"/>
  <c r="H18" i="2"/>
  <c r="D43" i="2"/>
  <c r="F34" i="2"/>
  <c r="D46" i="2" s="1"/>
  <c r="F33" i="2"/>
  <c r="G20" i="6"/>
  <c r="H40" i="2"/>
  <c r="H3" i="2"/>
  <c r="O9" i="2"/>
  <c r="C83" i="2" l="1"/>
  <c r="E115" i="2"/>
  <c r="F115" i="2" s="1"/>
  <c r="L93" i="2"/>
  <c r="G12" i="6" s="1"/>
  <c r="W35" i="8" s="1"/>
  <c r="H99" i="2"/>
  <c r="H15" i="2"/>
  <c r="C84" i="2"/>
  <c r="J83" i="2" s="1"/>
  <c r="J104" i="2" s="1"/>
  <c r="H58" i="2"/>
  <c r="T35" i="8" s="1"/>
  <c r="J105" i="2"/>
  <c r="B68" i="2"/>
  <c r="L95" i="2"/>
  <c r="G16" i="6" s="1"/>
  <c r="K67" i="8" s="1"/>
  <c r="H116" i="2"/>
  <c r="G14" i="6" s="1"/>
  <c r="W15" i="8" s="1"/>
  <c r="H89" i="2"/>
  <c r="G10" i="6" s="1"/>
  <c r="V15" i="8" s="1"/>
  <c r="H96" i="2"/>
  <c r="H74" i="2"/>
  <c r="G23" i="6"/>
  <c r="H71" i="2" l="1"/>
  <c r="G6" i="6" s="1"/>
  <c r="U15" i="8" s="1"/>
  <c r="M106" i="2"/>
  <c r="J84" i="2"/>
  <c r="J106" i="2"/>
  <c r="C119" i="2" s="1"/>
  <c r="H80" i="2"/>
  <c r="G8" i="6" l="1"/>
  <c r="V35" i="8" s="1"/>
  <c r="G27" i="6"/>
  <c r="G29" i="6" s="1"/>
</calcChain>
</file>

<file path=xl/sharedStrings.xml><?xml version="1.0" encoding="utf-8"?>
<sst xmlns="http://schemas.openxmlformats.org/spreadsheetml/2006/main" count="183" uniqueCount="164">
  <si>
    <t>Beginning Date Of Breeding Season</t>
  </si>
  <si>
    <t>Ending Date Of Breeding Season</t>
  </si>
  <si>
    <t>Number</t>
  </si>
  <si>
    <t>Tested</t>
  </si>
  <si>
    <t>Open</t>
  </si>
  <si>
    <t>Group Description</t>
  </si>
  <si>
    <t>Pregnant</t>
  </si>
  <si>
    <t>%</t>
  </si>
  <si>
    <t>Days</t>
  </si>
  <si>
    <t>Head</t>
  </si>
  <si>
    <t>Mid point of Calving Season</t>
  </si>
  <si>
    <t>Date</t>
  </si>
  <si>
    <t>Total</t>
  </si>
  <si>
    <t>Average</t>
  </si>
  <si>
    <t>Weaned Calves Production and Values</t>
  </si>
  <si>
    <t>Payweight</t>
  </si>
  <si>
    <t>Per Hd</t>
  </si>
  <si>
    <t>Months</t>
  </si>
  <si>
    <t>Lb.</t>
  </si>
  <si>
    <t>Heifer Calves Weaned</t>
  </si>
  <si>
    <t>______________________________________________________________________________________</t>
  </si>
  <si>
    <t>breeding season ends.</t>
  </si>
  <si>
    <t>breeding season.</t>
  </si>
  <si>
    <t xml:space="preserve"> Adjustments In Exposed Cows After Breeding Season</t>
  </si>
  <si>
    <t>Total Adjusted Number of Exposed at End of Breeding Season</t>
  </si>
  <si>
    <t>with out pregnancy testing</t>
  </si>
  <si>
    <t>between calving and weaning</t>
  </si>
  <si>
    <t>_______________________________________________________________________________________</t>
  </si>
  <si>
    <t xml:space="preserve">Percent open sold or transferred </t>
  </si>
  <si>
    <t>14 a.</t>
  </si>
  <si>
    <t>14 b.</t>
  </si>
  <si>
    <t>15 a.</t>
  </si>
  <si>
    <t>15 b.</t>
  </si>
  <si>
    <t>Calving Performance Measures</t>
  </si>
  <si>
    <t>Calf death loss only due to calving problems</t>
  </si>
  <si>
    <t>Total live calves born</t>
  </si>
  <si>
    <t>Calving death loss based on calves born (19/18a)</t>
  </si>
  <si>
    <t>Beginning</t>
  </si>
  <si>
    <t>Ending</t>
  </si>
  <si>
    <t>Average calving date</t>
  </si>
  <si>
    <t>Average weaning date</t>
  </si>
  <si>
    <t>Months Old</t>
  </si>
  <si>
    <r>
      <t>Average Age at Weaning (</t>
    </r>
    <r>
      <rPr>
        <sz val="10"/>
        <rFont val="Arial"/>
        <family val="2"/>
      </rPr>
      <t>mo.</t>
    </r>
    <r>
      <rPr>
        <sz val="12"/>
        <rFont val="Arial"/>
        <family val="2"/>
      </rPr>
      <t>)</t>
    </r>
  </si>
  <si>
    <t>19.</t>
  </si>
  <si>
    <t xml:space="preserve">    Date of pregnancy testing</t>
  </si>
  <si>
    <t>Pregnancy</t>
  </si>
  <si>
    <t xml:space="preserve">Death Loss and Replacement </t>
  </si>
  <si>
    <r>
      <t>Before Calving Begins - (</t>
    </r>
    <r>
      <rPr>
        <sz val="10"/>
        <rFont val="Arial"/>
        <family val="2"/>
      </rPr>
      <t>Beginning Breeding Season +283 Days)</t>
    </r>
  </si>
  <si>
    <t>intended to bred during the breeding season but failed to conceive.</t>
  </si>
  <si>
    <t>Weaning Performance Measurers</t>
  </si>
  <si>
    <t xml:space="preserve">Calf Weaning Dates </t>
  </si>
  <si>
    <t>Reproduction Performance</t>
  </si>
  <si>
    <t>Average Age at Weaning</t>
  </si>
  <si>
    <t>Heifers</t>
  </si>
  <si>
    <t>Average Weaning Wt.</t>
  </si>
  <si>
    <t>Production Performance Measures</t>
  </si>
  <si>
    <r>
      <t>Total Calves Born (</t>
    </r>
    <r>
      <rPr>
        <b/>
        <sz val="10"/>
        <rFont val="Arial"/>
        <family val="2"/>
      </rPr>
      <t>include live and dead calving</t>
    </r>
    <r>
      <rPr>
        <b/>
        <sz val="12"/>
        <rFont val="Arial"/>
        <family val="2"/>
      </rPr>
      <t xml:space="preserve"> )</t>
    </r>
  </si>
  <si>
    <t xml:space="preserve">   after the calving season begins</t>
  </si>
  <si>
    <t>exposed herd.</t>
  </si>
  <si>
    <t>after the breeding season ends</t>
  </si>
  <si>
    <t>________________________________________________________________________________________</t>
  </si>
  <si>
    <t>Year of Breeding to Produced Weaned Calves</t>
  </si>
  <si>
    <t>Printed</t>
  </si>
  <si>
    <t>Length of calving season</t>
  </si>
  <si>
    <t>Date First Calf was born</t>
  </si>
  <si>
    <t xml:space="preserve">End of Weaning Date </t>
  </si>
  <si>
    <t xml:space="preserve">Beginning Weaning Date </t>
  </si>
  <si>
    <t>Pregnancy Testing Beginning Date</t>
  </si>
  <si>
    <t>Pregnancy Testing Ending Date</t>
  </si>
  <si>
    <t>Calculated Based on Midpoint Dates</t>
  </si>
  <si>
    <t>Date of Last Calf was born</t>
  </si>
  <si>
    <r>
      <t xml:space="preserve">Beginning Calving Date </t>
    </r>
    <r>
      <rPr>
        <b/>
        <sz val="10"/>
        <rFont val="Arial"/>
        <family val="2"/>
      </rPr>
      <t>(283 days after breeding date)</t>
    </r>
  </si>
  <si>
    <t xml:space="preserve">End of Calving Date </t>
  </si>
  <si>
    <t>22.</t>
  </si>
  <si>
    <t>23.</t>
  </si>
  <si>
    <t>1.</t>
  </si>
  <si>
    <t>2.</t>
  </si>
  <si>
    <t>3.</t>
  </si>
  <si>
    <t>4.</t>
  </si>
  <si>
    <t>5 a.</t>
  </si>
  <si>
    <t>5 b.</t>
  </si>
  <si>
    <t>5 c.</t>
  </si>
  <si>
    <t>5 d.</t>
  </si>
  <si>
    <t>6.</t>
  </si>
  <si>
    <t>7.</t>
  </si>
  <si>
    <t>8.</t>
  </si>
  <si>
    <t>9.</t>
  </si>
  <si>
    <t>10.</t>
  </si>
  <si>
    <t>12.</t>
  </si>
  <si>
    <t>Calving</t>
  </si>
  <si>
    <t>Weaning</t>
  </si>
  <si>
    <t>Pregnancy Loss</t>
  </si>
  <si>
    <t>Calf Loss*</t>
  </si>
  <si>
    <t>Calf Death loss based on Calves Born</t>
  </si>
  <si>
    <t>Adjustments made at pregnancy Testing time</t>
  </si>
  <si>
    <r>
      <t xml:space="preserve">After the Breeding Season Ends </t>
    </r>
    <r>
      <rPr>
        <sz val="10"/>
        <rFont val="Arial"/>
        <family val="2"/>
      </rPr>
      <t>(check the pregnancy testing data)</t>
    </r>
  </si>
  <si>
    <t>SPA - Fiscal Year - Year Calves Weaned  in</t>
  </si>
  <si>
    <t>Replacement Heifers</t>
  </si>
  <si>
    <t>_______________________________________________________________________________</t>
  </si>
  <si>
    <t xml:space="preserve">Culled exposed Repl. Heifers  not intended to be calves but in </t>
  </si>
  <si>
    <t xml:space="preserve">Exposed Repl. Heifers  sold or transferred out before the </t>
  </si>
  <si>
    <t>Exposed Repl. Heifers  purchased or transferred in during the</t>
  </si>
  <si>
    <t>Pregnant Repl. Heifers  sold or transferred out after the breeding season</t>
  </si>
  <si>
    <t>Exposed Repl. Heifers  sold or transferred out after the breeding season</t>
  </si>
  <si>
    <t>Total Repl. Heifers  sold or transferred out after the breeding season (5a+5b+5c)</t>
  </si>
  <si>
    <t xml:space="preserve">Exposed and pregnant Repl. Heifers  purchased or transferred in </t>
  </si>
  <si>
    <t>Total Repl. Heifers  sold or transferred out with nursing calves (pairs)</t>
  </si>
  <si>
    <t>Total Repl. Heifers  purchased or transferred in with nursing calves (pairs)</t>
  </si>
  <si>
    <t>Adjusted Exposed Repl. Heifers  (1-2-3+4-5b+6-7+8)</t>
  </si>
  <si>
    <t>Pregnancy percentage based on exposed Repl. Heifers  pregnancy tested</t>
  </si>
  <si>
    <t xml:space="preserve">Calving Percentage based on total Repl. Heifers  calving </t>
  </si>
  <si>
    <t xml:space="preserve">Calf Death loss based on exposed Repl. Heifers </t>
  </si>
  <si>
    <t xml:space="preserve">Calving percentage based on exposed Repl. Heifers </t>
  </si>
  <si>
    <t xml:space="preserve">Calving death loss percentage based on exposed Repl. Heifers </t>
  </si>
  <si>
    <t>Bull/Steer Calves Weaned</t>
  </si>
  <si>
    <t xml:space="preserve">Total Weaned Calves Production </t>
  </si>
  <si>
    <t xml:space="preserve">Number of exposed Repl. Heifers  that are pregnancy tested </t>
  </si>
  <si>
    <t xml:space="preserve">Total Repl. Heifers  Diagnosed as Pregnant </t>
  </si>
  <si>
    <t>Weaning Summary</t>
  </si>
  <si>
    <t xml:space="preserve">Number of Repl. Heifers  diagnosed as open </t>
  </si>
  <si>
    <t xml:space="preserve">Percent of Repl. Heifers  diagnosed as open </t>
  </si>
  <si>
    <t>Repl. Heifer Death</t>
  </si>
  <si>
    <t>Replacement Heifer Breeding Season and Pregnancy Testing Results Summary for SPA Calculations</t>
  </si>
  <si>
    <t xml:space="preserve">        *Calf loss is based on the number of exposed heifers. Based on calves born the loss was </t>
  </si>
  <si>
    <t>Pounds Weaned per Exposed Replacement Heifer</t>
  </si>
  <si>
    <t>Pregnancy Percentage</t>
  </si>
  <si>
    <t>Pregnancy Loss Percentage</t>
  </si>
  <si>
    <t>Calving Percentage</t>
  </si>
  <si>
    <t>Calf Death Loss Based on Exposed Females</t>
  </si>
  <si>
    <t>Calf Crop or Weaning Percentage</t>
  </si>
  <si>
    <t>Calf Death Loss Based on Calves Born</t>
  </si>
  <si>
    <t>Weaning Weights</t>
  </si>
  <si>
    <t>Replacement Heifer Standardized Performance Analysis Results</t>
  </si>
  <si>
    <t xml:space="preserve">      Year</t>
  </si>
  <si>
    <t>Steers</t>
  </si>
  <si>
    <t xml:space="preserve">   Lb./Head</t>
  </si>
  <si>
    <t>Ranch or Herd Name</t>
  </si>
  <si>
    <t>Version 10-18-2015</t>
  </si>
  <si>
    <t xml:space="preserve">Total Death Loss of Exposed Repl. Heifers </t>
  </si>
  <si>
    <t>Percent death loss of Exposed - 10/9</t>
  </si>
  <si>
    <t>Bred Heifer Description</t>
  </si>
  <si>
    <t>Example</t>
  </si>
  <si>
    <t>Spring calving bred heifer through weaning</t>
  </si>
  <si>
    <t>Adjustments to Exposed Replacement Heifers Numbers</t>
  </si>
  <si>
    <t>Check the numbers pregnancy Tested</t>
  </si>
  <si>
    <t>Total Repl. Heifers  Exposed at the Beginning of the Breeding Season</t>
  </si>
  <si>
    <t xml:space="preserve">Sales or transfer of open exposed Replacement Heifers </t>
  </si>
  <si>
    <t>11.</t>
  </si>
  <si>
    <t>13 a.</t>
  </si>
  <si>
    <t>13 b.</t>
  </si>
  <si>
    <t>18.</t>
  </si>
  <si>
    <t>20 a.</t>
  </si>
  <si>
    <t>20 b.</t>
  </si>
  <si>
    <t>20 c.</t>
  </si>
  <si>
    <t>21.</t>
  </si>
  <si>
    <t>Open Repl. Heifers sold or transferred out after the breeding season</t>
  </si>
  <si>
    <t xml:space="preserve">Nursing calves purchased or transferred in and grafted on Repl. Heifers </t>
  </si>
  <si>
    <t xml:space="preserve">Seldom used </t>
  </si>
  <si>
    <t>Pregnancy of Exposed Replacement Heifers - Data and Performance</t>
  </si>
  <si>
    <t>Check as all exposed not Preg. tested</t>
  </si>
  <si>
    <t>and exposed (16/(9 + 7- 8)</t>
  </si>
  <si>
    <t>and live calves produced  (19/9+7-8)</t>
  </si>
  <si>
    <t>and live calves produced (19/(9+7-8))</t>
  </si>
  <si>
    <t>Weaning or calf crop percentage ((22-21)/9-21)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</si>
</sst>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m/dd/yy;@"/>
    <numFmt numFmtId="167" formatCode="0.0%"/>
    <numFmt numFmtId="168" formatCode="[$-409]d\-mmm\-yy;@"/>
    <numFmt numFmtId="169" formatCode="#,##0.0"/>
    <numFmt numFmtId="170" formatCode="0_);[Red]\(0\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2"/>
      <color rgb="FFC00000"/>
      <name val="Arial"/>
      <family val="2"/>
    </font>
    <font>
      <sz val="12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Protection="1">
      <protection locked="0"/>
    </xf>
    <xf numFmtId="0" fontId="2" fillId="0" borderId="0" xfId="0" applyFont="1"/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applyProtection="1">
      <alignment horizontal="center"/>
      <protection locked="0"/>
    </xf>
    <xf numFmtId="15" fontId="4" fillId="0" borderId="0" xfId="0" applyNumberFormat="1" applyFont="1" applyBorder="1" applyProtection="1">
      <protection locked="0"/>
    </xf>
    <xf numFmtId="15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4" fillId="0" borderId="0" xfId="0" applyNumberFormat="1" applyFont="1"/>
    <xf numFmtId="1" fontId="8" fillId="0" borderId="0" xfId="0" applyNumberFormat="1" applyFont="1"/>
    <xf numFmtId="0" fontId="8" fillId="0" borderId="0" xfId="0" applyFont="1"/>
    <xf numFmtId="0" fontId="4" fillId="0" borderId="0" xfId="0" quotePrefix="1" applyFont="1"/>
    <xf numFmtId="0" fontId="9" fillId="0" borderId="0" xfId="0" applyFont="1"/>
    <xf numFmtId="15" fontId="8" fillId="0" borderId="0" xfId="0" applyNumberFormat="1" applyFont="1" applyBorder="1" applyProtection="1">
      <protection locked="0"/>
    </xf>
    <xf numFmtId="0" fontId="1" fillId="0" borderId="0" xfId="0" applyFont="1"/>
    <xf numFmtId="0" fontId="11" fillId="0" borderId="0" xfId="0" applyFont="1"/>
    <xf numFmtId="0" fontId="12" fillId="0" borderId="0" xfId="0" applyFont="1"/>
    <xf numFmtId="1" fontId="0" fillId="0" borderId="0" xfId="0" applyNumberFormat="1"/>
    <xf numFmtId="0" fontId="7" fillId="0" borderId="0" xfId="0" applyFont="1"/>
    <xf numFmtId="0" fontId="5" fillId="0" borderId="3" xfId="0" applyFont="1" applyBorder="1" applyProtection="1">
      <protection locked="0"/>
    </xf>
    <xf numFmtId="15" fontId="4" fillId="0" borderId="0" xfId="0" applyNumberFormat="1" applyFont="1"/>
    <xf numFmtId="15" fontId="5" fillId="0" borderId="3" xfId="0" applyNumberFormat="1" applyFont="1" applyBorder="1" applyProtection="1">
      <protection locked="0"/>
    </xf>
    <xf numFmtId="15" fontId="2" fillId="0" borderId="0" xfId="0" applyNumberFormat="1" applyFont="1"/>
    <xf numFmtId="167" fontId="4" fillId="0" borderId="0" xfId="4" applyNumberFormat="1" applyFont="1"/>
    <xf numFmtId="10" fontId="2" fillId="0" borderId="0" xfId="4" applyNumberFormat="1" applyFont="1"/>
    <xf numFmtId="2" fontId="8" fillId="0" borderId="0" xfId="0" applyNumberFormat="1" applyFont="1" applyBorder="1"/>
    <xf numFmtId="166" fontId="0" fillId="0" borderId="0" xfId="0" applyNumberFormat="1"/>
    <xf numFmtId="169" fontId="0" fillId="0" borderId="0" xfId="0" applyNumberFormat="1"/>
    <xf numFmtId="164" fontId="5" fillId="0" borderId="3" xfId="0" applyNumberFormat="1" applyFont="1" applyBorder="1" applyProtection="1">
      <protection locked="0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1" fontId="4" fillId="0" borderId="0" xfId="0" applyNumberFormat="1" applyFont="1"/>
    <xf numFmtId="10" fontId="0" fillId="0" borderId="0" xfId="4" applyNumberFormat="1" applyFont="1"/>
    <xf numFmtId="1" fontId="5" fillId="0" borderId="2" xfId="0" applyNumberFormat="1" applyFont="1" applyBorder="1" applyProtection="1">
      <protection locked="0"/>
    </xf>
    <xf numFmtId="14" fontId="1" fillId="0" borderId="0" xfId="0" applyNumberFormat="1" applyFont="1"/>
    <xf numFmtId="1" fontId="2" fillId="0" borderId="0" xfId="0" applyNumberFormat="1" applyFont="1"/>
    <xf numFmtId="170" fontId="1" fillId="0" borderId="0" xfId="0" applyNumberFormat="1" applyFont="1"/>
    <xf numFmtId="1" fontId="13" fillId="0" borderId="0" xfId="0" applyNumberFormat="1" applyFont="1"/>
    <xf numFmtId="0" fontId="13" fillId="0" borderId="0" xfId="0" applyFont="1"/>
    <xf numFmtId="165" fontId="5" fillId="0" borderId="3" xfId="1" applyNumberFormat="1" applyFont="1" applyBorder="1" applyProtection="1">
      <protection locked="0"/>
    </xf>
    <xf numFmtId="165" fontId="5" fillId="0" borderId="2" xfId="1" applyNumberFormat="1" applyFont="1" applyBorder="1" applyProtection="1">
      <protection locked="0"/>
    </xf>
    <xf numFmtId="165" fontId="4" fillId="0" borderId="0" xfId="1" applyNumberFormat="1" applyFont="1"/>
    <xf numFmtId="165" fontId="2" fillId="0" borderId="4" xfId="1" applyNumberFormat="1" applyFont="1" applyBorder="1"/>
    <xf numFmtId="168" fontId="4" fillId="0" borderId="0" xfId="0" applyNumberFormat="1" applyFont="1" applyBorder="1" applyProtection="1"/>
    <xf numFmtId="0" fontId="14" fillId="0" borderId="0" xfId="0" applyFont="1" applyBorder="1" applyProtection="1"/>
    <xf numFmtId="15" fontId="4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center"/>
    </xf>
    <xf numFmtId="15" fontId="7" fillId="0" borderId="0" xfId="0" applyNumberFormat="1" applyFont="1" applyBorder="1" applyProtection="1">
      <protection locked="0"/>
    </xf>
    <xf numFmtId="165" fontId="0" fillId="0" borderId="0" xfId="0" applyNumberFormat="1"/>
    <xf numFmtId="18" fontId="2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167" fontId="0" fillId="0" borderId="0" xfId="4" applyNumberFormat="1" applyFont="1"/>
    <xf numFmtId="10" fontId="0" fillId="0" borderId="0" xfId="0" applyNumberFormat="1" applyAlignment="1">
      <alignment horizontal="left"/>
    </xf>
    <xf numFmtId="9" fontId="0" fillId="0" borderId="0" xfId="4" applyFont="1"/>
    <xf numFmtId="43" fontId="0" fillId="0" borderId="0" xfId="1" applyFont="1"/>
    <xf numFmtId="15" fontId="5" fillId="0" borderId="0" xfId="0" applyNumberFormat="1" applyFont="1" applyBorder="1" applyProtection="1"/>
    <xf numFmtId="167" fontId="2" fillId="0" borderId="0" xfId="4" applyNumberFormat="1" applyFont="1"/>
    <xf numFmtId="167" fontId="4" fillId="0" borderId="0" xfId="0" applyNumberFormat="1" applyFont="1"/>
    <xf numFmtId="0" fontId="17" fillId="0" borderId="0" xfId="0" applyFont="1"/>
    <xf numFmtId="0" fontId="17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167" fontId="8" fillId="0" borderId="4" xfId="4" applyNumberFormat="1" applyFont="1" applyBorder="1"/>
    <xf numFmtId="165" fontId="4" fillId="0" borderId="0" xfId="0" applyNumberFormat="1" applyFont="1"/>
    <xf numFmtId="1" fontId="4" fillId="0" borderId="0" xfId="4" applyNumberFormat="1" applyFont="1"/>
    <xf numFmtId="1" fontId="4" fillId="0" borderId="0" xfId="0" applyNumberFormat="1" applyFont="1" applyProtection="1"/>
    <xf numFmtId="1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9" fontId="4" fillId="0" borderId="0" xfId="0" applyNumberFormat="1" applyFont="1"/>
    <xf numFmtId="165" fontId="15" fillId="0" borderId="5" xfId="1" applyNumberFormat="1" applyFont="1" applyBorder="1" applyProtection="1">
      <protection locked="0"/>
    </xf>
    <xf numFmtId="165" fontId="2" fillId="0" borderId="0" xfId="1" applyNumberFormat="1" applyFont="1"/>
    <xf numFmtId="9" fontId="4" fillId="0" borderId="0" xfId="4" applyFont="1" applyBorder="1"/>
    <xf numFmtId="165" fontId="2" fillId="0" borderId="0" xfId="0" applyNumberFormat="1" applyFont="1"/>
    <xf numFmtId="165" fontId="2" fillId="0" borderId="0" xfId="1" applyNumberFormat="1" applyFont="1" applyBorder="1" applyProtection="1"/>
    <xf numFmtId="0" fontId="1" fillId="0" borderId="0" xfId="0" applyFont="1" applyBorder="1" applyAlignment="1" applyProtection="1">
      <protection locked="0"/>
    </xf>
    <xf numFmtId="1" fontId="5" fillId="0" borderId="6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8" fillId="0" borderId="7" xfId="0" applyFont="1" applyBorder="1" applyAlignment="1" applyProtection="1">
      <protection locked="0"/>
    </xf>
    <xf numFmtId="0" fontId="18" fillId="0" borderId="9" xfId="0" applyFont="1" applyBorder="1" applyAlignment="1" applyProtection="1">
      <protection locked="0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Reproduction Performance Based on Exposed Heifers</a:t>
            </a:r>
          </a:p>
        </c:rich>
      </c:tx>
      <c:layout>
        <c:manualLayout>
          <c:xMode val="edge"/>
          <c:yMode val="edge"/>
          <c:x val="0.15655339488327921"/>
          <c:y val="3.0674923661860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737864077669907E-2"/>
          <c:y val="0.1431495701319061"/>
          <c:w val="0.89927184466019416"/>
          <c:h val="0.72392782609563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SPA Performance Graphs'!$T$15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 SPA Performance Graphs'!$U$14:$W$14</c:f>
              <c:strCache>
                <c:ptCount val="3"/>
                <c:pt idx="0">
                  <c:v>Pregnancy</c:v>
                </c:pt>
                <c:pt idx="1">
                  <c:v>Calving</c:v>
                </c:pt>
                <c:pt idx="2">
                  <c:v>Weaning</c:v>
                </c:pt>
              </c:strCache>
            </c:strRef>
          </c:cat>
          <c:val>
            <c:numRef>
              <c:f>'3. SPA Performance Graphs'!$U$15:$W$15</c:f>
              <c:numCache>
                <c:formatCode>0.0%</c:formatCode>
                <c:ptCount val="3"/>
                <c:pt idx="0">
                  <c:v>0.9</c:v>
                </c:pt>
                <c:pt idx="1">
                  <c:v>0.9</c:v>
                </c:pt>
                <c:pt idx="2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5-4C9B-A061-CA77C4FB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525080"/>
        <c:axId val="237527432"/>
        <c:axId val="0"/>
      </c:bar3DChart>
      <c:catAx>
        <c:axId val="23752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52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27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525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Repl. Heifer Death Loss, Pregnancy and Calf Loss </a:t>
            </a:r>
          </a:p>
        </c:rich>
      </c:tx>
      <c:layout>
        <c:manualLayout>
          <c:xMode val="edge"/>
          <c:yMode val="edge"/>
          <c:x val="0.23757605330793638"/>
          <c:y val="2.916661058393341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394057047889492E-2"/>
          <c:y val="0.14583363003261318"/>
          <c:w val="0.88363740960867609"/>
          <c:h val="0.71875146230359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SPA Performance Graphs'!$S$35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 SPA Performance Graphs'!$T$34:$W$34</c:f>
              <c:strCache>
                <c:ptCount val="4"/>
                <c:pt idx="0">
                  <c:v>Repl. Heifer Death</c:v>
                </c:pt>
                <c:pt idx="2">
                  <c:v>Pregnancy Loss</c:v>
                </c:pt>
                <c:pt idx="3">
                  <c:v>Calf Loss*</c:v>
                </c:pt>
              </c:strCache>
            </c:strRef>
          </c:cat>
          <c:val>
            <c:numRef>
              <c:f>'3. SPA Performance Graphs'!$T$35:$W$35</c:f>
              <c:numCache>
                <c:formatCode>0.00%</c:formatCode>
                <c:ptCount val="4"/>
                <c:pt idx="0">
                  <c:v>0.01</c:v>
                </c:pt>
                <c:pt idx="2">
                  <c:v>0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E-49A1-BC45-D187239B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527824"/>
        <c:axId val="237520376"/>
        <c:axId val="0"/>
      </c:bar3DChart>
      <c:catAx>
        <c:axId val="23752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520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20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527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2</xdr:row>
      <xdr:rowOff>81643</xdr:rowOff>
    </xdr:from>
    <xdr:to>
      <xdr:col>13</xdr:col>
      <xdr:colOff>604157</xdr:colOff>
      <xdr:row>31</xdr:row>
      <xdr:rowOff>43543</xdr:rowOff>
    </xdr:to>
    <xdr:graphicFrame macro="">
      <xdr:nvGraphicFramePr>
        <xdr:cNvPr id="2155" name="Chart 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43543</xdr:colOff>
      <xdr:row>35</xdr:row>
      <xdr:rowOff>130629</xdr:rowOff>
    </xdr:from>
    <xdr:to>
      <xdr:col>13</xdr:col>
      <xdr:colOff>620486</xdr:colOff>
      <xdr:row>64</xdr:row>
      <xdr:rowOff>10886</xdr:rowOff>
    </xdr:to>
    <xdr:graphicFrame macro="">
      <xdr:nvGraphicFramePr>
        <xdr:cNvPr id="2156" name="Chart 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tabSelected="1" zoomScaleNormal="100" workbookViewId="0">
      <selection activeCell="F19" sqref="F19"/>
    </sheetView>
  </sheetViews>
  <sheetFormatPr defaultRowHeight="12.45" x14ac:dyDescent="0.3"/>
  <cols>
    <col min="1" max="1" width="5.921875" customWidth="1"/>
    <col min="2" max="2" width="31.69140625" customWidth="1"/>
    <col min="3" max="3" width="15.84375" customWidth="1"/>
    <col min="4" max="4" width="12.15234375" customWidth="1"/>
    <col min="5" max="5" width="10.69140625" customWidth="1"/>
    <col min="6" max="6" width="12.3828125" customWidth="1"/>
    <col min="7" max="7" width="4.4609375" customWidth="1"/>
    <col min="8" max="8" width="10.3828125" customWidth="1"/>
    <col min="9" max="9" width="8.15234375" customWidth="1"/>
    <col min="10" max="10" width="10.15234375" bestFit="1" customWidth="1"/>
    <col min="15" max="15" width="11.69140625" customWidth="1"/>
  </cols>
  <sheetData>
    <row r="1" spans="2:15" ht="15.45" x14ac:dyDescent="0.4">
      <c r="B1" s="88" t="s">
        <v>122</v>
      </c>
      <c r="C1" s="89"/>
      <c r="D1" s="89"/>
      <c r="E1" s="89"/>
      <c r="F1" s="89"/>
      <c r="G1" s="89"/>
      <c r="H1" s="89"/>
      <c r="I1" s="89"/>
    </row>
    <row r="3" spans="2:15" ht="15" x14ac:dyDescent="0.35">
      <c r="B3" s="4" t="s">
        <v>136</v>
      </c>
      <c r="C3" s="94" t="s">
        <v>141</v>
      </c>
      <c r="D3" s="95"/>
      <c r="F3" s="86" t="s">
        <v>62</v>
      </c>
      <c r="H3" s="46">
        <f ca="1">NOW()</f>
        <v>43364.14948414352</v>
      </c>
      <c r="L3" s="20" t="s">
        <v>137</v>
      </c>
    </row>
    <row r="4" spans="2:15" ht="15" x14ac:dyDescent="0.35">
      <c r="B4" s="4" t="s">
        <v>140</v>
      </c>
      <c r="C4" s="90" t="s">
        <v>142</v>
      </c>
      <c r="D4" s="91"/>
      <c r="E4" s="92"/>
      <c r="F4" s="93"/>
      <c r="G4" s="4"/>
      <c r="H4" s="4"/>
      <c r="I4" s="4"/>
    </row>
    <row r="5" spans="2:15" ht="15" x14ac:dyDescent="0.35">
      <c r="B5" s="4" t="s">
        <v>61</v>
      </c>
      <c r="C5" s="12"/>
      <c r="D5" s="87">
        <v>2018</v>
      </c>
      <c r="E5" s="4"/>
      <c r="F5" s="4"/>
      <c r="G5" s="4"/>
      <c r="H5" s="4"/>
    </row>
    <row r="6" spans="2:15" ht="15" x14ac:dyDescent="0.35">
      <c r="B6" s="4" t="s">
        <v>96</v>
      </c>
      <c r="C6" s="12"/>
      <c r="D6" s="45">
        <v>2019</v>
      </c>
      <c r="E6" s="66"/>
      <c r="F6" s="4"/>
      <c r="G6" s="4"/>
      <c r="H6" s="4"/>
    </row>
    <row r="7" spans="2:15" ht="15.45" thickBot="1" x14ac:dyDescent="0.4">
      <c r="B7" s="4" t="s">
        <v>60</v>
      </c>
      <c r="C7" s="4"/>
      <c r="D7" s="4"/>
      <c r="E7" s="4"/>
      <c r="F7" s="4"/>
      <c r="G7" s="4"/>
      <c r="H7" s="4"/>
      <c r="I7" s="4"/>
    </row>
    <row r="8" spans="2:15" ht="16.3" thickTop="1" thickBot="1" x14ac:dyDescent="0.45">
      <c r="B8" s="6" t="s">
        <v>0</v>
      </c>
      <c r="C8" s="4"/>
      <c r="D8" s="4"/>
      <c r="E8" s="4"/>
      <c r="F8" s="25">
        <v>43191</v>
      </c>
      <c r="G8" s="4"/>
      <c r="H8" s="4"/>
      <c r="I8" s="4"/>
    </row>
    <row r="9" spans="2:15" ht="15.9" thickTop="1" thickBot="1" x14ac:dyDescent="0.4">
      <c r="B9" s="4" t="s">
        <v>1</v>
      </c>
      <c r="C9" s="4"/>
      <c r="D9" s="4"/>
      <c r="E9" s="4"/>
      <c r="F9" s="25">
        <v>43252</v>
      </c>
      <c r="G9" s="4"/>
      <c r="H9" s="49">
        <f>F9-F8</f>
        <v>61</v>
      </c>
      <c r="I9" s="50" t="s">
        <v>8</v>
      </c>
      <c r="L9" t="s">
        <v>10</v>
      </c>
      <c r="O9" s="2">
        <f>(F8+283+F9+283)/2</f>
        <v>43504.5</v>
      </c>
    </row>
    <row r="10" spans="2:15" ht="9" customHeight="1" thickTop="1" thickBot="1" x14ac:dyDescent="0.4">
      <c r="B10" s="4"/>
      <c r="C10" s="4"/>
      <c r="D10" s="4"/>
      <c r="E10" s="4"/>
      <c r="F10" s="67"/>
      <c r="G10" s="4"/>
      <c r="H10" s="49"/>
      <c r="I10" s="50"/>
      <c r="O10" s="2"/>
    </row>
    <row r="11" spans="2:15" ht="16.3" thickTop="1" thickBot="1" x14ac:dyDescent="0.45">
      <c r="B11" s="6" t="s">
        <v>67</v>
      </c>
      <c r="C11" s="4"/>
      <c r="D11" s="4"/>
      <c r="E11" s="4"/>
      <c r="F11" s="25">
        <v>43358</v>
      </c>
      <c r="G11" s="4"/>
      <c r="H11" s="13"/>
      <c r="I11" s="14"/>
      <c r="O11" s="2"/>
    </row>
    <row r="12" spans="2:15" ht="15.9" thickTop="1" thickBot="1" x14ac:dyDescent="0.4">
      <c r="B12" s="4" t="s">
        <v>68</v>
      </c>
      <c r="C12" s="4"/>
      <c r="D12" s="4"/>
      <c r="E12" s="4"/>
      <c r="F12" s="25">
        <v>43359</v>
      </c>
      <c r="G12" s="4"/>
      <c r="H12" s="49">
        <f>F12-F11</f>
        <v>1</v>
      </c>
      <c r="I12" s="50" t="s">
        <v>8</v>
      </c>
      <c r="O12" s="2"/>
    </row>
    <row r="13" spans="2:15" ht="9" customHeight="1" thickTop="1" thickBot="1" x14ac:dyDescent="0.45">
      <c r="B13" s="4"/>
      <c r="C13" s="4"/>
      <c r="D13" s="4"/>
      <c r="E13" s="4"/>
      <c r="F13" s="67"/>
      <c r="G13" s="4"/>
      <c r="H13" s="13"/>
      <c r="I13" s="14"/>
      <c r="O13" s="2"/>
    </row>
    <row r="14" spans="2:15" ht="16.3" thickTop="1" thickBot="1" x14ac:dyDescent="0.45">
      <c r="B14" s="6" t="s">
        <v>71</v>
      </c>
      <c r="C14" s="4"/>
      <c r="D14" s="4"/>
      <c r="E14" s="4"/>
      <c r="F14" s="25">
        <f>F8+283</f>
        <v>43474</v>
      </c>
      <c r="G14" s="4"/>
      <c r="H14" s="4"/>
      <c r="I14" s="4"/>
    </row>
    <row r="15" spans="2:15" ht="15.9" thickTop="1" thickBot="1" x14ac:dyDescent="0.4">
      <c r="B15" s="4" t="s">
        <v>72</v>
      </c>
      <c r="C15" s="4"/>
      <c r="D15" s="4"/>
      <c r="E15" s="4"/>
      <c r="F15" s="25">
        <f>F14+60</f>
        <v>43534</v>
      </c>
      <c r="G15" s="4"/>
      <c r="H15" s="48">
        <f>F15-F14</f>
        <v>60</v>
      </c>
      <c r="I15" s="50" t="s">
        <v>8</v>
      </c>
    </row>
    <row r="16" spans="2:15" ht="9" customHeight="1" thickTop="1" thickBot="1" x14ac:dyDescent="0.4">
      <c r="B16" s="4"/>
      <c r="C16" s="4"/>
      <c r="D16" s="4"/>
      <c r="E16" s="4"/>
      <c r="F16" s="67"/>
      <c r="G16" s="4"/>
      <c r="H16" s="48"/>
      <c r="I16" s="50"/>
    </row>
    <row r="17" spans="1:11" ht="16.3" thickTop="1" thickBot="1" x14ac:dyDescent="0.45">
      <c r="B17" s="6" t="s">
        <v>66</v>
      </c>
      <c r="C17" s="4"/>
      <c r="D17" s="4"/>
      <c r="E17" s="4"/>
      <c r="F17" s="25">
        <v>43739</v>
      </c>
      <c r="G17" s="4"/>
      <c r="H17" s="4"/>
      <c r="I17" s="4"/>
    </row>
    <row r="18" spans="1:11" ht="15.9" thickTop="1" thickBot="1" x14ac:dyDescent="0.4">
      <c r="B18" s="4" t="s">
        <v>65</v>
      </c>
      <c r="C18" s="4"/>
      <c r="D18" s="4"/>
      <c r="E18" s="4"/>
      <c r="F18" s="25">
        <v>43740</v>
      </c>
      <c r="G18" s="4"/>
      <c r="H18" s="48">
        <f>F18-F17</f>
        <v>1</v>
      </c>
      <c r="I18" s="50" t="s">
        <v>8</v>
      </c>
    </row>
    <row r="19" spans="1:11" ht="15.9" thickTop="1" thickBot="1" x14ac:dyDescent="0.4">
      <c r="B19" s="4" t="s">
        <v>20</v>
      </c>
      <c r="C19" s="4"/>
      <c r="D19" s="4"/>
      <c r="E19" s="4"/>
      <c r="F19" s="4"/>
      <c r="G19" s="4"/>
      <c r="H19" s="4"/>
      <c r="I19" s="4"/>
    </row>
    <row r="20" spans="1:11" ht="15" customHeight="1" thickTop="1" thickBot="1" x14ac:dyDescent="0.45">
      <c r="A20" s="37" t="s">
        <v>75</v>
      </c>
      <c r="B20" s="4" t="s">
        <v>145</v>
      </c>
      <c r="C20" s="4"/>
      <c r="D20" s="4"/>
      <c r="E20" s="4"/>
      <c r="F20" s="51">
        <v>100</v>
      </c>
      <c r="G20" s="4"/>
      <c r="H20" s="82">
        <f>F20</f>
        <v>100</v>
      </c>
      <c r="I20" s="22" t="s">
        <v>9</v>
      </c>
    </row>
    <row r="21" spans="1:11" ht="15.9" thickTop="1" x14ac:dyDescent="0.4">
      <c r="A21" s="38"/>
      <c r="B21" s="4"/>
      <c r="C21" s="4"/>
      <c r="D21" s="4"/>
      <c r="E21" s="4"/>
      <c r="F21" s="4"/>
      <c r="G21" s="4"/>
      <c r="H21" s="4"/>
      <c r="I21" s="4"/>
    </row>
    <row r="22" spans="1:11" ht="15" customHeight="1" thickBot="1" x14ac:dyDescent="0.45">
      <c r="A22" s="37" t="s">
        <v>76</v>
      </c>
      <c r="B22" s="4" t="s">
        <v>99</v>
      </c>
      <c r="C22" s="70"/>
      <c r="D22" s="70"/>
      <c r="E22" s="70"/>
      <c r="F22" s="70"/>
      <c r="G22" s="4"/>
      <c r="H22" s="4"/>
      <c r="I22" s="4"/>
    </row>
    <row r="23" spans="1:11" ht="15" customHeight="1" thickTop="1" thickBot="1" x14ac:dyDescent="0.45">
      <c r="A23" s="38"/>
      <c r="B23" s="4" t="s">
        <v>58</v>
      </c>
      <c r="C23" s="70"/>
      <c r="D23" s="70"/>
      <c r="E23" s="70"/>
      <c r="F23" s="71"/>
      <c r="G23" s="4"/>
      <c r="H23" s="4"/>
      <c r="I23" s="4"/>
      <c r="K23" s="20" t="s">
        <v>157</v>
      </c>
    </row>
    <row r="24" spans="1:11" ht="15" customHeight="1" thickTop="1" x14ac:dyDescent="0.4">
      <c r="A24" s="38"/>
      <c r="B24" s="4"/>
      <c r="C24" s="4"/>
      <c r="D24" s="4"/>
      <c r="E24" s="4"/>
      <c r="F24" s="5"/>
      <c r="G24" s="4"/>
      <c r="H24" s="4"/>
      <c r="I24" s="4"/>
    </row>
    <row r="25" spans="1:11" ht="15" customHeight="1" thickBot="1" x14ac:dyDescent="0.45">
      <c r="A25" s="37" t="s">
        <v>77</v>
      </c>
      <c r="B25" s="4" t="s">
        <v>100</v>
      </c>
      <c r="C25" s="4"/>
      <c r="D25" s="4"/>
      <c r="E25" s="4"/>
      <c r="G25" s="4"/>
      <c r="H25" s="4"/>
      <c r="I25" s="4"/>
    </row>
    <row r="26" spans="1:11" ht="15" customHeight="1" thickTop="1" thickBot="1" x14ac:dyDescent="0.45">
      <c r="A26" s="38"/>
      <c r="B26" s="4" t="s">
        <v>21</v>
      </c>
      <c r="C26" s="4"/>
      <c r="D26" s="4"/>
      <c r="E26" s="4"/>
      <c r="F26" s="23"/>
      <c r="G26" s="4"/>
      <c r="H26" s="4"/>
      <c r="I26" s="4"/>
    </row>
    <row r="27" spans="1:11" ht="15" customHeight="1" thickTop="1" x14ac:dyDescent="0.4">
      <c r="A27" s="38"/>
      <c r="B27" s="4"/>
      <c r="C27" s="4"/>
      <c r="D27" s="4"/>
      <c r="E27" s="4"/>
      <c r="F27" s="5"/>
      <c r="G27" s="4"/>
      <c r="H27" s="4"/>
      <c r="I27" s="4"/>
    </row>
    <row r="28" spans="1:11" ht="15" customHeight="1" thickBot="1" x14ac:dyDescent="0.45">
      <c r="A28" s="37" t="s">
        <v>78</v>
      </c>
      <c r="B28" s="4" t="s">
        <v>101</v>
      </c>
      <c r="H28" s="4"/>
      <c r="I28" s="4"/>
    </row>
    <row r="29" spans="1:11" ht="15" customHeight="1" thickTop="1" thickBot="1" x14ac:dyDescent="0.45">
      <c r="A29" s="38"/>
      <c r="B29" s="4" t="s">
        <v>22</v>
      </c>
      <c r="C29" s="4"/>
      <c r="D29" s="4"/>
      <c r="E29" s="15"/>
      <c r="F29" s="23"/>
      <c r="G29" s="4"/>
      <c r="H29" s="4"/>
      <c r="I29" s="4"/>
    </row>
    <row r="30" spans="1:11" ht="15" customHeight="1" thickTop="1" x14ac:dyDescent="0.4">
      <c r="A30" s="38"/>
      <c r="B30" s="4" t="s">
        <v>24</v>
      </c>
      <c r="C30" s="4"/>
      <c r="D30" s="4"/>
      <c r="E30" s="15"/>
      <c r="F30" s="5"/>
      <c r="G30" s="4"/>
      <c r="H30" s="82">
        <f>+F20-F23-F26+F29</f>
        <v>100</v>
      </c>
      <c r="I30" s="22" t="s">
        <v>9</v>
      </c>
    </row>
    <row r="31" spans="1:11" ht="15" customHeight="1" x14ac:dyDescent="0.4">
      <c r="A31" s="38"/>
      <c r="B31" s="4"/>
      <c r="C31" s="4"/>
      <c r="D31" s="4"/>
      <c r="E31" s="15"/>
      <c r="F31" s="5"/>
      <c r="G31" s="4"/>
      <c r="H31" s="4"/>
      <c r="I31" s="4"/>
    </row>
    <row r="32" spans="1:11" ht="15" customHeight="1" x14ac:dyDescent="0.4">
      <c r="A32" s="38"/>
      <c r="B32" s="14" t="s">
        <v>23</v>
      </c>
      <c r="C32" s="4"/>
      <c r="D32" s="4"/>
      <c r="E32" s="15"/>
      <c r="F32" s="5"/>
      <c r="G32" s="4"/>
      <c r="H32" s="4"/>
      <c r="I32" s="4"/>
    </row>
    <row r="33" spans="1:9" ht="15" customHeight="1" x14ac:dyDescent="0.4">
      <c r="A33" s="38"/>
      <c r="B33" s="22" t="s">
        <v>95</v>
      </c>
      <c r="D33" s="4"/>
      <c r="E33" s="15"/>
      <c r="F33" s="24">
        <f>IF(F9=0," ",F9)</f>
        <v>43252</v>
      </c>
      <c r="G33" s="4"/>
      <c r="H33" s="4"/>
      <c r="I33" s="4"/>
    </row>
    <row r="34" spans="1:9" ht="15" customHeight="1" x14ac:dyDescent="0.4">
      <c r="A34" s="38"/>
      <c r="B34" s="22" t="s">
        <v>47</v>
      </c>
      <c r="D34" s="4"/>
      <c r="E34" s="15"/>
      <c r="F34" s="24">
        <f>IF(F8=0," ",F8+283)</f>
        <v>43474</v>
      </c>
      <c r="G34" s="4"/>
      <c r="H34" s="4"/>
      <c r="I34" s="4"/>
    </row>
    <row r="35" spans="1:9" ht="15" customHeight="1" thickBot="1" x14ac:dyDescent="0.45">
      <c r="A35" s="38"/>
      <c r="B35" s="22"/>
      <c r="D35" s="4"/>
      <c r="E35" s="15"/>
      <c r="F35" s="24"/>
      <c r="G35" s="4"/>
      <c r="H35" s="4"/>
      <c r="I35" s="4"/>
    </row>
    <row r="36" spans="1:9" ht="15" customHeight="1" thickTop="1" thickBot="1" x14ac:dyDescent="0.45">
      <c r="A36" s="61" t="s">
        <v>79</v>
      </c>
      <c r="B36" s="4" t="s">
        <v>155</v>
      </c>
      <c r="D36" s="4"/>
      <c r="E36" s="15"/>
      <c r="F36" s="23">
        <v>0</v>
      </c>
      <c r="G36" s="4"/>
      <c r="H36" s="4"/>
      <c r="I36" s="4"/>
    </row>
    <row r="37" spans="1:9" ht="15" customHeight="1" thickTop="1" thickBot="1" x14ac:dyDescent="0.45">
      <c r="A37" s="38" t="s">
        <v>80</v>
      </c>
      <c r="B37" s="22" t="s">
        <v>102</v>
      </c>
      <c r="D37" s="4"/>
      <c r="E37" s="15"/>
      <c r="F37" s="23"/>
      <c r="G37" s="4"/>
      <c r="H37" s="4"/>
      <c r="I37" s="4"/>
    </row>
    <row r="38" spans="1:9" ht="15" customHeight="1" thickTop="1" thickBot="1" x14ac:dyDescent="0.45">
      <c r="A38" s="38" t="s">
        <v>81</v>
      </c>
      <c r="B38" s="4" t="s">
        <v>103</v>
      </c>
      <c r="C38" s="4"/>
      <c r="D38" s="4"/>
      <c r="E38" s="15"/>
      <c r="F38" s="5"/>
      <c r="G38" s="4"/>
      <c r="H38" s="4"/>
      <c r="I38" s="4"/>
    </row>
    <row r="39" spans="1:9" ht="15" customHeight="1" thickTop="1" thickBot="1" x14ac:dyDescent="0.45">
      <c r="A39" s="38"/>
      <c r="B39" s="4" t="s">
        <v>25</v>
      </c>
      <c r="C39" s="4"/>
      <c r="D39" s="4"/>
      <c r="E39" s="15"/>
      <c r="F39" s="23"/>
      <c r="G39" s="4"/>
      <c r="H39" s="4"/>
      <c r="I39" s="4"/>
    </row>
    <row r="40" spans="1:9" ht="15.9" thickTop="1" x14ac:dyDescent="0.4">
      <c r="A40" s="38" t="s">
        <v>82</v>
      </c>
      <c r="B40" s="4" t="s">
        <v>104</v>
      </c>
      <c r="C40" s="4"/>
      <c r="D40" s="4"/>
      <c r="E40" s="4"/>
      <c r="F40" s="4"/>
      <c r="G40" s="4"/>
      <c r="H40" s="4">
        <f>SUM(F36:F39)</f>
        <v>0</v>
      </c>
      <c r="I40" s="22" t="s">
        <v>9</v>
      </c>
    </row>
    <row r="41" spans="1:9" ht="15.45" x14ac:dyDescent="0.4">
      <c r="A41" s="38"/>
      <c r="C41" s="4"/>
      <c r="D41" s="4"/>
      <c r="E41" s="4"/>
      <c r="F41" s="4"/>
      <c r="G41" s="4"/>
      <c r="H41" s="4"/>
      <c r="I41" s="4"/>
    </row>
    <row r="42" spans="1:9" ht="15.9" thickBot="1" x14ac:dyDescent="0.45">
      <c r="A42" s="37" t="s">
        <v>83</v>
      </c>
      <c r="B42" s="4" t="s">
        <v>105</v>
      </c>
      <c r="C42" s="4"/>
      <c r="D42" s="4"/>
      <c r="E42" s="4"/>
      <c r="F42" s="4"/>
      <c r="G42" s="4"/>
      <c r="H42" s="4"/>
      <c r="I42" s="4"/>
    </row>
    <row r="43" spans="1:9" ht="16.3" thickTop="1" thickBot="1" x14ac:dyDescent="0.45">
      <c r="A43" s="38"/>
      <c r="B43" s="4" t="s">
        <v>59</v>
      </c>
      <c r="D43" s="24">
        <f>IF(F9=0," ",F9)</f>
        <v>43252</v>
      </c>
      <c r="E43" s="4"/>
      <c r="F43" s="23"/>
      <c r="G43" s="4"/>
      <c r="H43" s="4"/>
      <c r="I43" s="4"/>
    </row>
    <row r="44" spans="1:9" ht="15.9" thickTop="1" x14ac:dyDescent="0.4">
      <c r="A44" s="38"/>
      <c r="B44" s="4"/>
      <c r="C44" s="24"/>
      <c r="D44" s="4"/>
      <c r="E44" s="4"/>
      <c r="F44" s="5"/>
      <c r="G44" s="4"/>
      <c r="H44" s="4"/>
      <c r="I44" s="4"/>
    </row>
    <row r="45" spans="1:9" ht="15.45" x14ac:dyDescent="0.4">
      <c r="A45" s="38"/>
      <c r="B45" s="6" t="s">
        <v>143</v>
      </c>
      <c r="C45" s="24"/>
      <c r="D45" s="4"/>
      <c r="E45" s="4"/>
      <c r="F45" s="5"/>
      <c r="G45" s="4"/>
      <c r="H45" s="4"/>
      <c r="I45" s="4"/>
    </row>
    <row r="46" spans="1:9" ht="15.45" x14ac:dyDescent="0.4">
      <c r="A46" s="38"/>
      <c r="B46" s="6" t="s">
        <v>57</v>
      </c>
      <c r="C46" s="24"/>
      <c r="D46" s="59">
        <f>F34</f>
        <v>43474</v>
      </c>
      <c r="E46" s="4"/>
      <c r="G46" s="4"/>
      <c r="H46" s="4"/>
      <c r="I46" s="4"/>
    </row>
    <row r="47" spans="1:9" ht="15.45" x14ac:dyDescent="0.4">
      <c r="A47" s="38"/>
      <c r="B47" s="4"/>
      <c r="C47" s="24"/>
      <c r="D47" s="4"/>
      <c r="E47" s="4"/>
      <c r="F47" s="5"/>
      <c r="G47" s="4"/>
      <c r="H47" s="4"/>
      <c r="I47" s="4"/>
    </row>
    <row r="48" spans="1:9" ht="15.9" thickBot="1" x14ac:dyDescent="0.45">
      <c r="A48" s="37" t="s">
        <v>84</v>
      </c>
      <c r="B48" s="4" t="s">
        <v>106</v>
      </c>
      <c r="C48" s="24"/>
      <c r="D48" s="4"/>
      <c r="E48" s="4"/>
      <c r="F48" s="5"/>
      <c r="G48" s="4"/>
      <c r="H48" s="4"/>
      <c r="I48" s="4"/>
    </row>
    <row r="49" spans="1:16" ht="16.3" thickTop="1" thickBot="1" x14ac:dyDescent="0.45">
      <c r="A49" s="38"/>
      <c r="B49" s="4" t="s">
        <v>26</v>
      </c>
      <c r="C49" s="24"/>
      <c r="D49" s="4"/>
      <c r="E49" s="4"/>
      <c r="F49" s="23">
        <v>0</v>
      </c>
      <c r="G49" s="4"/>
      <c r="H49" s="4"/>
      <c r="I49" s="4"/>
    </row>
    <row r="50" spans="1:16" ht="15.9" thickTop="1" x14ac:dyDescent="0.4">
      <c r="A50" s="38"/>
      <c r="B50" s="4"/>
      <c r="C50" s="24"/>
      <c r="D50" s="4"/>
      <c r="E50" s="4"/>
      <c r="F50" s="5"/>
      <c r="G50" s="4"/>
      <c r="H50" s="4"/>
      <c r="I50" s="4"/>
    </row>
    <row r="51" spans="1:16" ht="15.9" thickBot="1" x14ac:dyDescent="0.45">
      <c r="A51" s="37" t="s">
        <v>85</v>
      </c>
      <c r="B51" s="4" t="s">
        <v>107</v>
      </c>
      <c r="C51" s="24"/>
      <c r="D51" s="4"/>
      <c r="E51" s="4"/>
      <c r="F51" s="5"/>
      <c r="G51" s="4"/>
      <c r="H51" s="4"/>
      <c r="I51" s="4"/>
    </row>
    <row r="52" spans="1:16" ht="16.3" thickTop="1" thickBot="1" x14ac:dyDescent="0.45">
      <c r="A52" s="38"/>
      <c r="B52" s="4" t="s">
        <v>26</v>
      </c>
      <c r="C52" s="24"/>
      <c r="D52" s="4"/>
      <c r="E52" s="4"/>
      <c r="F52" s="23"/>
      <c r="G52" s="4"/>
      <c r="H52" s="4"/>
      <c r="I52" s="4"/>
    </row>
    <row r="53" spans="1:16" ht="15.9" thickTop="1" x14ac:dyDescent="0.4">
      <c r="A53" s="38"/>
      <c r="B53" s="4"/>
      <c r="C53" s="24"/>
      <c r="D53" s="4"/>
      <c r="E53" s="4"/>
      <c r="F53" s="5"/>
      <c r="G53" s="4"/>
      <c r="H53" s="4"/>
      <c r="I53" s="4"/>
    </row>
    <row r="54" spans="1:16" ht="15.9" thickBot="1" x14ac:dyDescent="0.45">
      <c r="A54" s="37" t="s">
        <v>86</v>
      </c>
      <c r="B54" s="6" t="s">
        <v>108</v>
      </c>
      <c r="C54" s="26"/>
      <c r="D54" s="4"/>
      <c r="E54" s="4"/>
      <c r="F54" s="5"/>
      <c r="G54" s="4"/>
      <c r="H54" s="54">
        <f>H20-F23-F26+F29-F37+F43-F49+F52</f>
        <v>100</v>
      </c>
      <c r="I54" s="6" t="s">
        <v>9</v>
      </c>
    </row>
    <row r="55" spans="1:16" ht="15.45" thickTop="1" x14ac:dyDescent="0.35">
      <c r="A55" s="62"/>
      <c r="B55" s="4"/>
      <c r="C55" s="24"/>
      <c r="D55" s="4"/>
      <c r="E55" s="4"/>
      <c r="F55" s="5"/>
      <c r="G55" s="4"/>
      <c r="H55" s="4"/>
      <c r="I55" s="4"/>
    </row>
    <row r="56" spans="1:16" ht="15.9" thickBot="1" x14ac:dyDescent="0.45">
      <c r="A56" s="62"/>
      <c r="B56" s="6" t="s">
        <v>46</v>
      </c>
      <c r="C56" s="24"/>
      <c r="D56" s="4"/>
      <c r="E56" s="4"/>
      <c r="F56" s="5"/>
      <c r="G56" s="4"/>
      <c r="H56" s="4"/>
      <c r="I56" s="4"/>
    </row>
    <row r="57" spans="1:16" ht="16.3" thickTop="1" thickBot="1" x14ac:dyDescent="0.45">
      <c r="A57" s="37" t="s">
        <v>87</v>
      </c>
      <c r="B57" s="4" t="s">
        <v>138</v>
      </c>
      <c r="C57" s="24"/>
      <c r="D57" s="4"/>
      <c r="E57" s="4"/>
      <c r="F57" s="23">
        <v>1</v>
      </c>
      <c r="G57" s="4"/>
      <c r="H57" s="4"/>
      <c r="I57" s="4"/>
    </row>
    <row r="58" spans="1:16" ht="15.9" thickTop="1" x14ac:dyDescent="0.4">
      <c r="A58" s="38"/>
      <c r="B58" s="4" t="s">
        <v>139</v>
      </c>
      <c r="C58" s="24"/>
      <c r="D58" s="4"/>
      <c r="E58" s="4"/>
      <c r="F58" s="5"/>
      <c r="G58" s="4"/>
      <c r="H58" s="28">
        <f>IF(H54=0,0,F57/H54)</f>
        <v>0.01</v>
      </c>
      <c r="I58" s="4"/>
    </row>
    <row r="59" spans="1:16" ht="15.45" x14ac:dyDescent="0.4">
      <c r="A59" s="38"/>
      <c r="B59" s="4" t="s">
        <v>27</v>
      </c>
      <c r="C59" s="24"/>
      <c r="D59" s="4"/>
      <c r="E59" s="4"/>
      <c r="F59" s="5"/>
      <c r="G59" s="4"/>
      <c r="H59" s="27"/>
      <c r="I59" s="4"/>
    </row>
    <row r="60" spans="1:16" ht="15.45" x14ac:dyDescent="0.4">
      <c r="A60" s="62"/>
      <c r="B60" s="6" t="s">
        <v>158</v>
      </c>
      <c r="C60" s="4"/>
      <c r="D60" s="4"/>
      <c r="G60" s="4"/>
      <c r="H60" s="4"/>
      <c r="I60" s="4"/>
    </row>
    <row r="61" spans="1:16" ht="15.45" x14ac:dyDescent="0.4">
      <c r="A61" s="62"/>
      <c r="B61" s="14"/>
      <c r="C61" s="39" t="s">
        <v>37</v>
      </c>
      <c r="D61" s="11" t="s">
        <v>38</v>
      </c>
      <c r="E61" s="39"/>
      <c r="G61" s="4"/>
      <c r="H61" s="4"/>
      <c r="I61" s="4"/>
    </row>
    <row r="62" spans="1:16" ht="15.45" x14ac:dyDescent="0.4">
      <c r="A62" s="62"/>
      <c r="B62" s="6" t="s">
        <v>44</v>
      </c>
      <c r="C62" s="55">
        <f>IF(F11=0," ",F11)</f>
        <v>43358</v>
      </c>
      <c r="D62" s="57">
        <f>IF(F12=0," ",F12)</f>
        <v>43359</v>
      </c>
      <c r="E62" s="56"/>
      <c r="G62" s="4"/>
      <c r="H62" s="14"/>
      <c r="I62" s="14"/>
    </row>
    <row r="63" spans="1:16" ht="15.45" x14ac:dyDescent="0.4">
      <c r="A63" s="62"/>
      <c r="B63" s="4"/>
      <c r="C63" s="7" t="s">
        <v>2</v>
      </c>
      <c r="D63" s="7" t="s">
        <v>2</v>
      </c>
      <c r="E63" s="7" t="s">
        <v>2</v>
      </c>
      <c r="F63" s="4"/>
      <c r="G63" s="4"/>
      <c r="H63" s="40"/>
      <c r="I63" s="14"/>
      <c r="L63" s="20" t="s">
        <v>144</v>
      </c>
      <c r="P63" s="60">
        <f>D65+E65</f>
        <v>100</v>
      </c>
    </row>
    <row r="64" spans="1:16" ht="15.45" x14ac:dyDescent="0.4">
      <c r="A64" s="62"/>
      <c r="B64" s="4" t="s">
        <v>5</v>
      </c>
      <c r="C64" s="7" t="s">
        <v>3</v>
      </c>
      <c r="D64" s="7" t="s">
        <v>4</v>
      </c>
      <c r="E64" s="7" t="s">
        <v>6</v>
      </c>
      <c r="F64" s="4"/>
      <c r="G64" s="4"/>
      <c r="H64" s="41"/>
      <c r="I64" s="14"/>
      <c r="L64" s="1" t="s">
        <v>159</v>
      </c>
    </row>
    <row r="65" spans="1:9" ht="15.45" x14ac:dyDescent="0.4">
      <c r="A65" s="37" t="s">
        <v>147</v>
      </c>
      <c r="B65" s="72" t="s">
        <v>97</v>
      </c>
      <c r="C65" s="52">
        <v>100</v>
      </c>
      <c r="D65" s="52">
        <v>10</v>
      </c>
      <c r="E65" s="52">
        <v>90</v>
      </c>
      <c r="F65" s="70" t="str">
        <f>IF(C65=P63," ",L64)</f>
        <v xml:space="preserve"> </v>
      </c>
      <c r="G65" s="4"/>
      <c r="H65" s="83"/>
      <c r="I65" s="14"/>
    </row>
    <row r="66" spans="1:9" ht="15.45" x14ac:dyDescent="0.4">
      <c r="A66" s="62"/>
      <c r="B66" s="4"/>
      <c r="C66" s="4"/>
      <c r="D66" s="4"/>
      <c r="E66" s="4"/>
      <c r="F66" s="4"/>
      <c r="G66" s="4"/>
      <c r="H66" s="41"/>
      <c r="I66" s="4"/>
    </row>
    <row r="67" spans="1:9" ht="15.45" x14ac:dyDescent="0.4">
      <c r="A67" s="37" t="s">
        <v>88</v>
      </c>
      <c r="B67" s="4" t="s">
        <v>116</v>
      </c>
      <c r="C67" s="4"/>
      <c r="D67" s="4"/>
      <c r="E67" s="4"/>
      <c r="G67" s="4"/>
      <c r="H67" s="84">
        <f>C65</f>
        <v>100</v>
      </c>
      <c r="I67" s="4" t="s">
        <v>9</v>
      </c>
    </row>
    <row r="68" spans="1:9" ht="15.45" x14ac:dyDescent="0.4">
      <c r="A68" s="37"/>
      <c r="B68" s="16" t="str">
        <f>IF(H67&lt;H54,L64," ")</f>
        <v xml:space="preserve"> </v>
      </c>
      <c r="C68" s="4"/>
      <c r="D68" s="4"/>
      <c r="E68" s="4"/>
      <c r="F68" s="4"/>
      <c r="G68" s="4"/>
      <c r="H68" s="4"/>
      <c r="I68" s="4"/>
    </row>
    <row r="69" spans="1:9" ht="15.45" x14ac:dyDescent="0.4">
      <c r="A69" s="37" t="s">
        <v>148</v>
      </c>
      <c r="B69" s="4" t="s">
        <v>117</v>
      </c>
      <c r="C69" s="4"/>
      <c r="D69" s="4"/>
      <c r="E69" s="4"/>
      <c r="G69" s="4"/>
      <c r="H69" s="84">
        <f>E65</f>
        <v>90</v>
      </c>
      <c r="I69" s="4" t="s">
        <v>9</v>
      </c>
    </row>
    <row r="70" spans="1:9" ht="15.45" x14ac:dyDescent="0.4">
      <c r="A70" s="38"/>
      <c r="B70" s="4"/>
      <c r="C70" s="4"/>
      <c r="D70" s="4"/>
      <c r="E70" s="16"/>
      <c r="F70" s="4"/>
      <c r="G70" s="4"/>
      <c r="H70" s="4"/>
      <c r="I70" s="4"/>
    </row>
    <row r="71" spans="1:9" ht="15.9" thickBot="1" x14ac:dyDescent="0.45">
      <c r="A71" s="37" t="s">
        <v>149</v>
      </c>
      <c r="B71" s="14" t="s">
        <v>109</v>
      </c>
      <c r="C71" s="4"/>
      <c r="D71" s="4"/>
      <c r="E71" s="4"/>
      <c r="F71" s="4"/>
      <c r="G71" s="4"/>
      <c r="H71" s="73">
        <f>IF(H67=0,0,H69/H67)</f>
        <v>0.9</v>
      </c>
      <c r="I71" s="14"/>
    </row>
    <row r="72" spans="1:9" ht="15.9" thickTop="1" x14ac:dyDescent="0.4">
      <c r="A72" s="37"/>
      <c r="B72" s="14"/>
      <c r="C72" s="4"/>
      <c r="D72" s="4"/>
      <c r="E72" s="4"/>
      <c r="F72" s="4"/>
      <c r="G72" s="4"/>
      <c r="H72" s="29"/>
      <c r="I72" s="14"/>
    </row>
    <row r="73" spans="1:9" ht="15.45" x14ac:dyDescent="0.4">
      <c r="A73" s="37" t="s">
        <v>29</v>
      </c>
      <c r="B73" s="4" t="s">
        <v>119</v>
      </c>
      <c r="C73" s="4"/>
      <c r="D73" s="4"/>
      <c r="E73" s="4"/>
      <c r="F73" s="74">
        <f>D65</f>
        <v>10</v>
      </c>
      <c r="G73" s="4"/>
      <c r="H73" s="29"/>
      <c r="I73" s="14"/>
    </row>
    <row r="74" spans="1:9" ht="15.45" x14ac:dyDescent="0.4">
      <c r="A74" s="37" t="s">
        <v>30</v>
      </c>
      <c r="B74" s="4" t="s">
        <v>120</v>
      </c>
      <c r="C74" s="4"/>
      <c r="D74" s="4"/>
      <c r="E74" s="16" t="str">
        <f>IF(H67&lt;H62,L64," ")</f>
        <v xml:space="preserve"> </v>
      </c>
      <c r="F74" s="4"/>
      <c r="G74" s="4"/>
      <c r="H74" s="28">
        <f>IF(H67=0,0,F73/H67)</f>
        <v>0.1</v>
      </c>
      <c r="I74" s="4"/>
    </row>
    <row r="75" spans="1:9" ht="15" x14ac:dyDescent="0.35">
      <c r="A75" s="33"/>
      <c r="B75" s="4"/>
      <c r="C75" s="53"/>
      <c r="D75" s="53"/>
      <c r="E75" s="53"/>
      <c r="F75" s="4"/>
      <c r="G75" s="4"/>
      <c r="H75" s="4"/>
      <c r="I75" s="4"/>
    </row>
    <row r="76" spans="1:9" ht="15.45" x14ac:dyDescent="0.4">
      <c r="A76" s="33"/>
      <c r="B76" s="6" t="s">
        <v>94</v>
      </c>
      <c r="C76" s="4"/>
      <c r="D76" s="4"/>
      <c r="E76" s="4"/>
      <c r="F76" s="4"/>
      <c r="G76" s="4"/>
      <c r="H76" s="4"/>
      <c r="I76" s="4"/>
    </row>
    <row r="77" spans="1:9" ht="15.9" thickBot="1" x14ac:dyDescent="0.45">
      <c r="A77" s="34" t="s">
        <v>31</v>
      </c>
      <c r="B77" s="4" t="s">
        <v>146</v>
      </c>
      <c r="C77" s="4"/>
      <c r="D77" s="4"/>
      <c r="E77" s="4"/>
      <c r="F77" s="4"/>
      <c r="G77" s="4"/>
      <c r="H77" s="4"/>
      <c r="I77" s="4"/>
    </row>
    <row r="78" spans="1:9" ht="16.3" thickTop="1" thickBot="1" x14ac:dyDescent="0.45">
      <c r="A78" s="34"/>
      <c r="B78" s="4" t="s">
        <v>48</v>
      </c>
      <c r="C78" s="4"/>
      <c r="D78" s="4"/>
      <c r="E78" s="4"/>
      <c r="F78" s="23">
        <v>10</v>
      </c>
      <c r="G78" s="4"/>
      <c r="H78" s="4"/>
      <c r="I78" s="4"/>
    </row>
    <row r="79" spans="1:9" ht="15.9" thickTop="1" x14ac:dyDescent="0.4">
      <c r="A79" s="34"/>
      <c r="C79" s="4"/>
      <c r="D79" s="4"/>
      <c r="E79" s="4"/>
      <c r="F79" s="4"/>
      <c r="G79" s="4"/>
      <c r="H79" s="4"/>
      <c r="I79" s="4"/>
    </row>
    <row r="80" spans="1:9" ht="15.45" x14ac:dyDescent="0.4">
      <c r="A80" s="34" t="s">
        <v>32</v>
      </c>
      <c r="B80" s="6" t="s">
        <v>28</v>
      </c>
      <c r="C80" s="4"/>
      <c r="D80" s="4"/>
      <c r="E80" s="4"/>
      <c r="G80" s="4"/>
      <c r="H80" s="68">
        <f>IF(F73=0,0,F78/F73)</f>
        <v>1</v>
      </c>
      <c r="I80" s="4"/>
    </row>
    <row r="81" spans="1:12" ht="15" x14ac:dyDescent="0.35">
      <c r="A81" s="36"/>
      <c r="C81" s="4"/>
      <c r="D81" s="4"/>
      <c r="E81" s="4"/>
      <c r="F81" s="4"/>
      <c r="G81" s="4"/>
      <c r="H81" s="4"/>
      <c r="I81" s="4"/>
    </row>
    <row r="82" spans="1:12" ht="15.45" x14ac:dyDescent="0.4">
      <c r="A82" s="36"/>
      <c r="B82" s="6" t="s">
        <v>33</v>
      </c>
      <c r="C82" s="10" t="s">
        <v>11</v>
      </c>
      <c r="D82" s="4"/>
      <c r="E82" s="4" t="s">
        <v>6</v>
      </c>
      <c r="F82" s="74">
        <f>H69</f>
        <v>90</v>
      </c>
      <c r="G82" s="4"/>
      <c r="H82" s="4"/>
      <c r="I82" s="4"/>
    </row>
    <row r="83" spans="1:12" ht="15" x14ac:dyDescent="0.35">
      <c r="A83" s="36"/>
      <c r="B83" s="9" t="s">
        <v>64</v>
      </c>
      <c r="C83" s="57">
        <f>IF(F14=0," ",F14)</f>
        <v>43474</v>
      </c>
      <c r="D83" s="4"/>
      <c r="E83" s="4"/>
      <c r="F83" s="4"/>
      <c r="G83" s="4"/>
      <c r="H83" s="4"/>
      <c r="I83" s="4"/>
      <c r="J83" s="30">
        <f>(C83+C84)/2</f>
        <v>43504</v>
      </c>
      <c r="K83" t="s">
        <v>39</v>
      </c>
    </row>
    <row r="84" spans="1:12" ht="15" x14ac:dyDescent="0.35">
      <c r="A84" s="36"/>
      <c r="B84" s="9" t="s">
        <v>70</v>
      </c>
      <c r="C84" s="57">
        <f>IF(F15=0," ",F15)</f>
        <v>43534</v>
      </c>
      <c r="D84" s="4"/>
      <c r="E84" s="4"/>
      <c r="F84" s="4"/>
      <c r="G84" s="4"/>
      <c r="H84" s="4"/>
      <c r="I84" s="4"/>
      <c r="J84" s="21">
        <f>C84-C83</f>
        <v>60</v>
      </c>
      <c r="K84" t="s">
        <v>63</v>
      </c>
    </row>
    <row r="85" spans="1:12" ht="15.45" thickBot="1" x14ac:dyDescent="0.4">
      <c r="A85" s="36"/>
      <c r="B85" s="4"/>
      <c r="C85" s="8"/>
      <c r="D85" s="4"/>
      <c r="E85" s="4"/>
      <c r="F85" s="4"/>
      <c r="G85" s="4"/>
      <c r="H85" s="4"/>
      <c r="I85" s="4"/>
    </row>
    <row r="86" spans="1:12" ht="16.3" thickTop="1" thickBot="1" x14ac:dyDescent="0.45">
      <c r="A86" s="34">
        <v>16</v>
      </c>
      <c r="B86" s="17" t="s">
        <v>56</v>
      </c>
      <c r="C86" s="4"/>
      <c r="D86" s="4"/>
      <c r="E86" s="4"/>
      <c r="F86" s="51">
        <v>90</v>
      </c>
      <c r="G86" s="4"/>
      <c r="H86" s="4"/>
      <c r="I86" s="4"/>
    </row>
    <row r="87" spans="1:12" ht="15.9" thickTop="1" x14ac:dyDescent="0.4">
      <c r="A87" s="34"/>
      <c r="B87" s="4"/>
      <c r="C87" s="4"/>
      <c r="D87" s="4"/>
      <c r="E87" s="4"/>
      <c r="F87" s="4"/>
      <c r="G87" s="4"/>
      <c r="H87" s="4"/>
      <c r="I87" s="4"/>
    </row>
    <row r="88" spans="1:12" ht="15.45" x14ac:dyDescent="0.4">
      <c r="A88" s="34">
        <v>17</v>
      </c>
      <c r="B88" s="6" t="s">
        <v>110</v>
      </c>
      <c r="C88" s="4"/>
      <c r="D88" s="4"/>
      <c r="E88" s="4"/>
      <c r="G88" s="4"/>
      <c r="H88" s="4"/>
      <c r="I88" s="4"/>
    </row>
    <row r="89" spans="1:12" ht="15.45" x14ac:dyDescent="0.4">
      <c r="A89" s="34"/>
      <c r="B89" s="6" t="s">
        <v>160</v>
      </c>
      <c r="C89" s="4"/>
      <c r="D89" s="4"/>
      <c r="E89" s="4"/>
      <c r="G89" s="4"/>
      <c r="H89" s="28">
        <f>IF(H54=0,0,((F86)/(H54+F49-F52)))</f>
        <v>0.9</v>
      </c>
      <c r="I89" s="4"/>
    </row>
    <row r="90" spans="1:12" ht="15.9" thickBot="1" x14ac:dyDescent="0.45">
      <c r="A90" s="34"/>
      <c r="B90" s="6"/>
      <c r="C90" s="4"/>
      <c r="D90" s="4"/>
      <c r="E90" s="4"/>
      <c r="F90" s="6"/>
      <c r="G90" s="4"/>
      <c r="H90" s="4"/>
      <c r="I90" s="4"/>
    </row>
    <row r="91" spans="1:12" ht="16.3" thickTop="1" thickBot="1" x14ac:dyDescent="0.45">
      <c r="A91" s="35" t="s">
        <v>150</v>
      </c>
      <c r="B91" s="4" t="s">
        <v>34</v>
      </c>
      <c r="C91" s="4"/>
      <c r="D91" s="4"/>
      <c r="E91" s="4"/>
      <c r="F91" s="23">
        <v>1</v>
      </c>
      <c r="G91" s="4"/>
      <c r="H91" s="4"/>
      <c r="I91" s="4"/>
    </row>
    <row r="92" spans="1:12" ht="16.3" thickTop="1" thickBot="1" x14ac:dyDescent="0.45">
      <c r="A92" s="34"/>
      <c r="B92" s="4"/>
      <c r="C92" s="4"/>
      <c r="D92" s="4"/>
      <c r="E92" s="4"/>
      <c r="F92" s="4"/>
      <c r="G92" s="4"/>
      <c r="H92" s="4"/>
      <c r="I92" s="4"/>
    </row>
    <row r="93" spans="1:12" ht="16.3" thickTop="1" thickBot="1" x14ac:dyDescent="0.45">
      <c r="A93" s="35" t="s">
        <v>43</v>
      </c>
      <c r="B93" s="6" t="s">
        <v>35</v>
      </c>
      <c r="C93" s="4"/>
      <c r="D93" s="4"/>
      <c r="E93" s="4"/>
      <c r="F93" s="51">
        <v>89</v>
      </c>
      <c r="G93" s="4"/>
      <c r="H93" s="4"/>
      <c r="I93" s="4"/>
      <c r="K93" s="60"/>
      <c r="L93" s="65">
        <f>IF(H54=0,0,((F$52+F$86+F$107-D$115-F$49))/(H54))</f>
        <v>0.02</v>
      </c>
    </row>
    <row r="94" spans="1:12" ht="15.9" thickTop="1" x14ac:dyDescent="0.4">
      <c r="A94" s="34"/>
      <c r="B94" s="4"/>
      <c r="C94" s="4"/>
      <c r="D94" s="4"/>
      <c r="E94" s="4"/>
      <c r="F94" s="4"/>
      <c r="G94" s="4"/>
      <c r="H94" s="4"/>
      <c r="I94" s="4"/>
      <c r="K94" s="19" t="s">
        <v>111</v>
      </c>
    </row>
    <row r="95" spans="1:12" ht="15.45" x14ac:dyDescent="0.4">
      <c r="A95" s="34" t="s">
        <v>151</v>
      </c>
      <c r="B95" s="4" t="s">
        <v>112</v>
      </c>
      <c r="C95" s="4"/>
      <c r="D95" s="4"/>
      <c r="E95" s="4"/>
      <c r="F95" s="4"/>
      <c r="G95" s="4"/>
      <c r="H95" s="4"/>
      <c r="I95" s="4"/>
      <c r="L95" s="65">
        <f>(IF(H54=0,0,((F$52+F$86+F$107-D$115-F$49))/(F$52+F$86)))</f>
        <v>2.2222222222222223E-2</v>
      </c>
    </row>
    <row r="96" spans="1:12" ht="15.45" x14ac:dyDescent="0.4">
      <c r="A96" s="34"/>
      <c r="B96" s="4" t="s">
        <v>161</v>
      </c>
      <c r="C96" s="4"/>
      <c r="D96" s="4"/>
      <c r="E96" s="4"/>
      <c r="G96" s="4"/>
      <c r="H96" s="28">
        <f>IF($H$54=0,0,($F$93/($H$54+$F$49-$F$52)))</f>
        <v>0.89</v>
      </c>
      <c r="I96" s="4"/>
      <c r="K96" s="19" t="s">
        <v>93</v>
      </c>
    </row>
    <row r="97" spans="1:13" ht="15.45" x14ac:dyDescent="0.4">
      <c r="A97" s="34"/>
      <c r="B97" s="4"/>
      <c r="C97" s="4"/>
      <c r="D97" s="4"/>
      <c r="E97" s="4"/>
      <c r="G97" s="4"/>
      <c r="H97" s="28"/>
      <c r="I97" s="4"/>
    </row>
    <row r="98" spans="1:13" ht="15.45" x14ac:dyDescent="0.4">
      <c r="A98" s="34" t="s">
        <v>152</v>
      </c>
      <c r="B98" s="4" t="s">
        <v>113</v>
      </c>
      <c r="C98" s="4"/>
      <c r="D98" s="4"/>
      <c r="E98" s="4"/>
      <c r="G98" s="4"/>
      <c r="H98" s="28"/>
      <c r="I98" s="4"/>
    </row>
    <row r="99" spans="1:13" ht="15.45" x14ac:dyDescent="0.4">
      <c r="A99" s="34"/>
      <c r="B99" s="4" t="s">
        <v>162</v>
      </c>
      <c r="C99" s="4"/>
      <c r="D99" s="4"/>
      <c r="E99" s="4"/>
      <c r="G99" s="4"/>
      <c r="H99" s="28">
        <f>IF(H54=0,0,F91/(H54+F49-F52))</f>
        <v>0.01</v>
      </c>
      <c r="I99" s="4"/>
    </row>
    <row r="100" spans="1:13" ht="15.45" x14ac:dyDescent="0.4">
      <c r="A100" s="34"/>
      <c r="B100" s="4"/>
      <c r="C100" s="4"/>
      <c r="D100" s="4"/>
      <c r="E100" s="4"/>
      <c r="G100" s="4"/>
      <c r="H100" s="28"/>
      <c r="I100" s="4"/>
    </row>
    <row r="101" spans="1:13" ht="15.45" x14ac:dyDescent="0.4">
      <c r="A101" s="34" t="s">
        <v>153</v>
      </c>
      <c r="B101" s="4" t="s">
        <v>36</v>
      </c>
      <c r="C101" s="4"/>
      <c r="D101" s="4"/>
      <c r="E101" s="4"/>
      <c r="F101" s="4"/>
      <c r="G101" s="4"/>
      <c r="H101" s="28">
        <f>IF(F86=0,0,F91/F86)</f>
        <v>1.1111111111111112E-2</v>
      </c>
      <c r="I101" s="4"/>
      <c r="K101" s="60">
        <f>F86-D115</f>
        <v>2</v>
      </c>
    </row>
    <row r="102" spans="1:13" ht="15.45" x14ac:dyDescent="0.4">
      <c r="A102" s="34"/>
      <c r="B102" s="4"/>
      <c r="C102" s="4"/>
      <c r="D102" s="4"/>
      <c r="E102" s="4"/>
      <c r="F102" s="4"/>
      <c r="G102" s="4"/>
      <c r="H102" s="28"/>
      <c r="I102" s="4"/>
    </row>
    <row r="103" spans="1:13" ht="15.45" x14ac:dyDescent="0.4">
      <c r="A103" s="34"/>
      <c r="B103" s="6" t="s">
        <v>49</v>
      </c>
      <c r="C103" s="4"/>
      <c r="D103" s="4"/>
      <c r="E103" s="4"/>
      <c r="F103" s="4"/>
      <c r="G103" s="4"/>
      <c r="H103" s="28"/>
      <c r="I103" s="4"/>
    </row>
    <row r="104" spans="1:13" ht="15.45" x14ac:dyDescent="0.4">
      <c r="A104" s="34"/>
      <c r="B104" s="6"/>
      <c r="C104" s="4" t="s">
        <v>37</v>
      </c>
      <c r="D104" s="4" t="s">
        <v>38</v>
      </c>
      <c r="E104" s="4"/>
      <c r="F104" s="4"/>
      <c r="G104" s="4"/>
      <c r="H104" s="28"/>
      <c r="I104" s="4"/>
      <c r="J104" s="30">
        <f>IF(J83=0,0,J83)</f>
        <v>43504</v>
      </c>
      <c r="K104" t="s">
        <v>39</v>
      </c>
    </row>
    <row r="105" spans="1:13" ht="15.45" x14ac:dyDescent="0.4">
      <c r="A105" s="34"/>
      <c r="B105" s="14" t="s">
        <v>50</v>
      </c>
      <c r="C105" s="58">
        <f>IF(F17=0," ",F17)</f>
        <v>43739</v>
      </c>
      <c r="D105" s="58">
        <f>IF(F18=0," ",F18)</f>
        <v>43740</v>
      </c>
      <c r="E105" s="4"/>
      <c r="F105" s="4"/>
      <c r="G105" s="4"/>
      <c r="H105" s="28"/>
      <c r="I105" s="4"/>
      <c r="J105" s="30">
        <f>(C105+D105)/2</f>
        <v>43739.5</v>
      </c>
      <c r="K105" t="s">
        <v>40</v>
      </c>
    </row>
    <row r="106" spans="1:13" ht="15.9" thickBot="1" x14ac:dyDescent="0.45">
      <c r="A106" s="34"/>
      <c r="B106" s="6"/>
      <c r="C106" s="4"/>
      <c r="D106" s="4"/>
      <c r="E106" s="4"/>
      <c r="F106" s="4"/>
      <c r="G106" s="4"/>
      <c r="H106" s="28"/>
      <c r="I106" s="4"/>
      <c r="J106" s="31">
        <f>((J105-J104)/(365/12))</f>
        <v>7.742465753424657</v>
      </c>
      <c r="K106" t="s">
        <v>41</v>
      </c>
      <c r="M106" s="21">
        <f>J105-J104</f>
        <v>235.5</v>
      </c>
    </row>
    <row r="107" spans="1:13" ht="16.3" thickTop="1" thickBot="1" x14ac:dyDescent="0.45">
      <c r="A107" s="35" t="s">
        <v>154</v>
      </c>
      <c r="B107" s="4" t="s">
        <v>156</v>
      </c>
      <c r="C107" s="4"/>
      <c r="D107" s="4"/>
      <c r="E107" s="4"/>
      <c r="F107" s="23"/>
      <c r="G107" s="4"/>
      <c r="H107" s="28"/>
      <c r="I107" s="4"/>
    </row>
    <row r="108" spans="1:13" ht="15.9" thickTop="1" x14ac:dyDescent="0.4">
      <c r="A108" s="35"/>
      <c r="B108" s="4"/>
      <c r="C108" s="4"/>
      <c r="D108" s="4"/>
      <c r="E108" s="4"/>
      <c r="F108" s="5"/>
      <c r="G108" s="4"/>
      <c r="H108" s="28"/>
      <c r="I108" s="4"/>
    </row>
    <row r="109" spans="1:13" ht="15.45" x14ac:dyDescent="0.4">
      <c r="B109" s="6" t="s">
        <v>118</v>
      </c>
      <c r="C109" s="43">
        <f>'1. Repl. Heif. SPA ReproData '!D6</f>
        <v>2019</v>
      </c>
      <c r="D109" s="78"/>
      <c r="E109" s="78" t="s">
        <v>12</v>
      </c>
      <c r="F109" s="78" t="s">
        <v>13</v>
      </c>
      <c r="H109" s="28"/>
      <c r="I109" s="4"/>
    </row>
    <row r="110" spans="1:13" ht="15.45" x14ac:dyDescent="0.4">
      <c r="B110" s="6" t="s">
        <v>14</v>
      </c>
      <c r="C110" s="4"/>
      <c r="D110" s="78" t="s">
        <v>9</v>
      </c>
      <c r="E110" s="79" t="s">
        <v>15</v>
      </c>
      <c r="F110" s="78" t="s">
        <v>16</v>
      </c>
      <c r="H110" s="28"/>
      <c r="I110" s="4"/>
    </row>
    <row r="111" spans="1:13" ht="15.45" x14ac:dyDescent="0.4">
      <c r="B111" s="4"/>
      <c r="C111" s="4"/>
      <c r="D111" s="6"/>
      <c r="E111" s="3" t="s">
        <v>18</v>
      </c>
      <c r="F111" s="3" t="s">
        <v>18</v>
      </c>
      <c r="H111" s="28"/>
      <c r="I111" s="4"/>
    </row>
    <row r="112" spans="1:13" ht="15.45" x14ac:dyDescent="0.4">
      <c r="B112" s="4" t="s">
        <v>114</v>
      </c>
      <c r="D112" s="81">
        <v>45</v>
      </c>
      <c r="E112" s="81">
        <f>D112*550</f>
        <v>24750</v>
      </c>
      <c r="F112" s="76">
        <f>IF(D112=0,0,E112/D112)</f>
        <v>550</v>
      </c>
      <c r="H112" s="28"/>
      <c r="I112" s="4"/>
    </row>
    <row r="113" spans="1:9" ht="15.45" x14ac:dyDescent="0.4">
      <c r="B113" s="4" t="s">
        <v>19</v>
      </c>
      <c r="D113" s="81">
        <v>43</v>
      </c>
      <c r="E113" s="81">
        <f>D113*525</f>
        <v>22575</v>
      </c>
      <c r="F113" s="76">
        <f>IF(D113=0,0,E113/D113)</f>
        <v>525</v>
      </c>
      <c r="H113" s="28"/>
      <c r="I113" s="4"/>
    </row>
    <row r="114" spans="1:9" ht="15.9" thickBot="1" x14ac:dyDescent="0.45">
      <c r="B114" s="4"/>
      <c r="C114" s="6"/>
      <c r="D114" s="53"/>
      <c r="E114" s="53"/>
      <c r="F114" s="43"/>
      <c r="H114" s="28"/>
      <c r="I114" s="4"/>
    </row>
    <row r="115" spans="1:9" ht="16.3" thickTop="1" thickBot="1" x14ac:dyDescent="0.45">
      <c r="A115" s="35" t="s">
        <v>73</v>
      </c>
      <c r="B115" s="6" t="s">
        <v>115</v>
      </c>
      <c r="C115" s="6"/>
      <c r="D115" s="51">
        <f>(D112+D113)</f>
        <v>88</v>
      </c>
      <c r="E115" s="85">
        <f>E112+E113</f>
        <v>47325</v>
      </c>
      <c r="F115" s="77">
        <f>IF(D115=0,0,E115/D115)</f>
        <v>537.78409090909088</v>
      </c>
      <c r="H115" s="28"/>
      <c r="I115" s="4"/>
    </row>
    <row r="116" spans="1:9" ht="15.9" thickTop="1" x14ac:dyDescent="0.4">
      <c r="A116" s="35"/>
      <c r="B116" s="4" t="s">
        <v>163</v>
      </c>
      <c r="C116" s="4"/>
      <c r="D116" s="4"/>
      <c r="E116" s="4"/>
      <c r="G116" s="4"/>
      <c r="H116" s="28">
        <f>IF(H54=0,0,((D115-F107)/H54))</f>
        <v>0.88</v>
      </c>
      <c r="I116" s="4"/>
    </row>
    <row r="117" spans="1:9" ht="15.45" x14ac:dyDescent="0.4">
      <c r="A117" s="35"/>
      <c r="D117" s="4"/>
      <c r="E117" s="4"/>
      <c r="F117" s="5"/>
      <c r="G117" s="4"/>
      <c r="I117" s="4"/>
    </row>
    <row r="118" spans="1:9" ht="15.9" thickBot="1" x14ac:dyDescent="0.45">
      <c r="A118" s="34"/>
      <c r="B118" s="4"/>
      <c r="C118" s="18" t="s">
        <v>69</v>
      </c>
      <c r="D118" s="4"/>
      <c r="E118" s="4"/>
      <c r="F118" s="4"/>
      <c r="G118" s="4"/>
      <c r="H118" s="28"/>
      <c r="I118" s="4"/>
    </row>
    <row r="119" spans="1:9" ht="16.3" thickTop="1" thickBot="1" x14ac:dyDescent="0.45">
      <c r="A119" s="35" t="s">
        <v>74</v>
      </c>
      <c r="B119" s="4" t="s">
        <v>42</v>
      </c>
      <c r="C119" s="80">
        <f>J106</f>
        <v>7.742465753424657</v>
      </c>
      <c r="D119" s="18" t="s">
        <v>17</v>
      </c>
      <c r="E119" s="4"/>
      <c r="F119" s="32">
        <v>7.5</v>
      </c>
      <c r="G119" s="4"/>
      <c r="H119" s="28"/>
      <c r="I119" s="4"/>
    </row>
    <row r="120" spans="1:9" ht="15.45" thickTop="1" x14ac:dyDescent="0.35">
      <c r="B120" s="4"/>
      <c r="C120" s="4"/>
      <c r="D120" s="4"/>
      <c r="E120" s="4"/>
      <c r="F120" s="4"/>
      <c r="G120" s="4"/>
      <c r="H120" s="4"/>
      <c r="I120" s="4"/>
    </row>
    <row r="121" spans="1:9" ht="15" x14ac:dyDescent="0.35">
      <c r="B121" s="4"/>
      <c r="C121" s="4"/>
      <c r="D121" s="4"/>
      <c r="E121" s="4"/>
      <c r="F121" s="4"/>
      <c r="G121" s="4"/>
      <c r="H121" s="4"/>
      <c r="I121" s="4"/>
    </row>
  </sheetData>
  <sheetProtection sheet="1" objects="1" scenarios="1"/>
  <mergeCells count="3">
    <mergeCell ref="B1:I1"/>
    <mergeCell ref="C4:F4"/>
    <mergeCell ref="C3:D3"/>
  </mergeCells>
  <phoneticPr fontId="0" type="noConversion"/>
  <pageMargins left="1" right="0.5" top="1" bottom="1" header="0.5" footer="0.5"/>
  <pageSetup scale="64" orientation="portrait" r:id="rId1"/>
  <headerFooter alignWithMargins="0">
    <oddFooter>&amp;L&amp;F&amp;R&amp;A
Page &amp;P of &amp;N</oddFooter>
  </headerFooter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32"/>
  <sheetViews>
    <sheetView topLeftCell="A22" workbookViewId="0">
      <selection activeCell="D24" sqref="D24"/>
    </sheetView>
  </sheetViews>
  <sheetFormatPr defaultRowHeight="12.45" x14ac:dyDescent="0.3"/>
  <cols>
    <col min="3" max="3" width="28.3828125" customWidth="1"/>
    <col min="7" max="7" width="11.69140625" customWidth="1"/>
    <col min="8" max="8" width="13.53515625" customWidth="1"/>
  </cols>
  <sheetData>
    <row r="2" spans="2:9" ht="17.600000000000001" x14ac:dyDescent="0.4">
      <c r="B2" s="42" t="s">
        <v>132</v>
      </c>
    </row>
    <row r="4" spans="2:9" ht="15.45" x14ac:dyDescent="0.4">
      <c r="B4" s="6" t="s">
        <v>51</v>
      </c>
      <c r="C4" s="4"/>
      <c r="D4" s="4"/>
      <c r="F4" s="19"/>
      <c r="H4" s="4"/>
      <c r="I4" s="4"/>
    </row>
    <row r="5" spans="2:9" ht="15.45" x14ac:dyDescent="0.4">
      <c r="B5" s="4"/>
      <c r="C5" s="4"/>
      <c r="D5" s="4"/>
      <c r="E5" s="6" t="s">
        <v>133</v>
      </c>
      <c r="F5" s="4"/>
      <c r="G5" s="4"/>
      <c r="H5" s="4"/>
      <c r="I5" s="4"/>
    </row>
    <row r="6" spans="2:9" ht="15.45" x14ac:dyDescent="0.4">
      <c r="B6" s="4"/>
      <c r="C6" s="4" t="s">
        <v>125</v>
      </c>
      <c r="D6" s="4"/>
      <c r="E6" s="47">
        <f>E10-1</f>
        <v>2018</v>
      </c>
      <c r="F6" s="4"/>
      <c r="G6" s="69">
        <f>'1. Repl. Heif. SPA ReproData '!H71</f>
        <v>0.9</v>
      </c>
      <c r="H6" s="4"/>
      <c r="I6" s="4"/>
    </row>
    <row r="7" spans="2:9" ht="15" x14ac:dyDescent="0.35">
      <c r="B7" s="4"/>
      <c r="C7" s="4"/>
      <c r="D7" s="4"/>
      <c r="E7" s="4"/>
      <c r="F7" s="4"/>
      <c r="G7" s="69"/>
      <c r="H7" s="4"/>
      <c r="I7" s="4"/>
    </row>
    <row r="8" spans="2:9" ht="15" x14ac:dyDescent="0.35">
      <c r="B8" s="4"/>
      <c r="C8" s="4" t="s">
        <v>126</v>
      </c>
      <c r="D8" s="4"/>
      <c r="E8" s="4"/>
      <c r="F8" s="4"/>
      <c r="G8" s="69">
        <f>G6-G10</f>
        <v>0</v>
      </c>
      <c r="H8" s="4"/>
      <c r="I8" s="4"/>
    </row>
    <row r="9" spans="2:9" ht="15" x14ac:dyDescent="0.35">
      <c r="B9" s="4"/>
      <c r="C9" s="4"/>
      <c r="D9" s="4"/>
      <c r="E9" s="4"/>
      <c r="F9" s="4"/>
      <c r="G9" s="69"/>
      <c r="H9" s="4"/>
      <c r="I9" s="4"/>
    </row>
    <row r="10" spans="2:9" ht="15.45" x14ac:dyDescent="0.4">
      <c r="B10" s="4"/>
      <c r="C10" s="4" t="s">
        <v>127</v>
      </c>
      <c r="D10" s="4"/>
      <c r="E10" s="47">
        <f>'1. Repl. Heif. SPA ReproData '!C109</f>
        <v>2019</v>
      </c>
      <c r="F10" s="4"/>
      <c r="G10" s="69">
        <f>'1. Repl. Heif. SPA ReproData '!H89</f>
        <v>0.9</v>
      </c>
      <c r="H10" s="4"/>
      <c r="I10" s="4"/>
    </row>
    <row r="11" spans="2:9" ht="15" x14ac:dyDescent="0.35">
      <c r="B11" s="4"/>
      <c r="C11" s="4"/>
      <c r="D11" s="4"/>
      <c r="E11" s="4"/>
      <c r="F11" s="4"/>
      <c r="G11" s="69"/>
      <c r="H11" s="4"/>
      <c r="I11" s="4"/>
    </row>
    <row r="12" spans="2:9" ht="15" x14ac:dyDescent="0.35">
      <c r="B12" s="4"/>
      <c r="C12" s="4" t="s">
        <v>128</v>
      </c>
      <c r="D12" s="4"/>
      <c r="E12" s="4"/>
      <c r="F12" s="4"/>
      <c r="G12" s="27">
        <f>'1. Repl. Heif. SPA ReproData '!L93</f>
        <v>0.02</v>
      </c>
      <c r="H12" s="4"/>
      <c r="I12" s="4"/>
    </row>
    <row r="13" spans="2:9" ht="15" x14ac:dyDescent="0.35">
      <c r="B13" s="4"/>
      <c r="C13" s="4"/>
      <c r="D13" s="4"/>
      <c r="E13" s="4"/>
      <c r="F13" s="4"/>
      <c r="G13" s="69"/>
      <c r="H13" s="4"/>
      <c r="I13" s="4"/>
    </row>
    <row r="14" spans="2:9" ht="15" x14ac:dyDescent="0.35">
      <c r="B14" s="4"/>
      <c r="C14" s="4" t="s">
        <v>129</v>
      </c>
      <c r="D14" s="4"/>
      <c r="E14" s="4"/>
      <c r="F14" s="4"/>
      <c r="G14" s="69">
        <f>'1. Repl. Heif. SPA ReproData '!H116</f>
        <v>0.88</v>
      </c>
      <c r="H14" s="4"/>
      <c r="I14" s="4"/>
    </row>
    <row r="15" spans="2:9" ht="15" x14ac:dyDescent="0.35">
      <c r="B15" s="4"/>
      <c r="C15" s="4"/>
      <c r="D15" s="4"/>
      <c r="E15" s="4"/>
      <c r="F15" s="4"/>
      <c r="G15" s="69"/>
      <c r="H15" s="4"/>
      <c r="I15" s="4"/>
    </row>
    <row r="16" spans="2:9" ht="15" x14ac:dyDescent="0.35">
      <c r="B16" s="4"/>
      <c r="C16" s="4" t="s">
        <v>130</v>
      </c>
      <c r="D16" s="4"/>
      <c r="E16" s="4"/>
      <c r="F16" s="4"/>
      <c r="G16" s="27">
        <f>'1. Repl. Heif. SPA ReproData '!L95</f>
        <v>2.2222222222222223E-2</v>
      </c>
      <c r="H16" s="4"/>
      <c r="I16" s="4"/>
    </row>
    <row r="17" spans="2:9" ht="15" x14ac:dyDescent="0.35">
      <c r="B17" s="4"/>
      <c r="C17" s="4"/>
      <c r="D17" s="4"/>
      <c r="E17" s="4"/>
      <c r="F17" s="4"/>
      <c r="G17" s="4"/>
      <c r="H17" s="4"/>
      <c r="I17" s="4"/>
    </row>
    <row r="18" spans="2:9" ht="15.45" x14ac:dyDescent="0.4">
      <c r="B18" s="6" t="s">
        <v>55</v>
      </c>
      <c r="C18" s="4"/>
      <c r="D18" s="4"/>
      <c r="E18" s="4"/>
      <c r="F18" s="4"/>
      <c r="G18" s="4"/>
      <c r="H18" s="4"/>
      <c r="I18" s="4"/>
    </row>
    <row r="19" spans="2:9" ht="15" x14ac:dyDescent="0.35">
      <c r="B19" s="4"/>
      <c r="C19" s="4"/>
      <c r="D19" s="4"/>
      <c r="E19" s="4"/>
      <c r="F19" s="4"/>
      <c r="G19" s="4"/>
      <c r="H19" s="4"/>
      <c r="I19" s="4"/>
    </row>
    <row r="20" spans="2:9" ht="15" x14ac:dyDescent="0.35">
      <c r="B20" s="4"/>
      <c r="C20" s="4" t="s">
        <v>52</v>
      </c>
      <c r="D20" s="4"/>
      <c r="E20" s="4"/>
      <c r="F20" s="4"/>
      <c r="G20" s="4">
        <f>'1. Repl. Heif. SPA ReproData '!F119</f>
        <v>7.5</v>
      </c>
      <c r="H20" s="4"/>
      <c r="I20" s="4"/>
    </row>
    <row r="21" spans="2:9" ht="15" x14ac:dyDescent="0.35">
      <c r="B21" s="4"/>
      <c r="C21" s="4"/>
      <c r="D21" s="4"/>
      <c r="E21" s="4"/>
      <c r="F21" s="4"/>
      <c r="G21" s="4"/>
      <c r="H21" s="4"/>
      <c r="I21" s="4"/>
    </row>
    <row r="22" spans="2:9" ht="15" x14ac:dyDescent="0.35">
      <c r="B22" s="4"/>
      <c r="C22" s="4" t="s">
        <v>131</v>
      </c>
      <c r="D22" s="4"/>
      <c r="E22" s="4"/>
      <c r="F22" s="4"/>
      <c r="G22" s="4" t="s">
        <v>135</v>
      </c>
      <c r="H22" s="4"/>
      <c r="I22" s="4"/>
    </row>
    <row r="23" spans="2:9" ht="15" x14ac:dyDescent="0.35">
      <c r="B23" s="4"/>
      <c r="C23" s="4"/>
      <c r="D23" s="4" t="s">
        <v>134</v>
      </c>
      <c r="E23" s="4"/>
      <c r="F23" s="4"/>
      <c r="G23" s="43">
        <f>'1. Repl. Heif. SPA ReproData '!F112</f>
        <v>550</v>
      </c>
      <c r="H23" s="4"/>
      <c r="I23" s="4"/>
    </row>
    <row r="24" spans="2:9" ht="15" x14ac:dyDescent="0.35">
      <c r="B24" s="4"/>
      <c r="C24" s="4"/>
      <c r="D24" s="4"/>
      <c r="E24" s="4"/>
      <c r="F24" s="4"/>
      <c r="G24" s="4"/>
      <c r="H24" s="4"/>
      <c r="I24" s="4"/>
    </row>
    <row r="25" spans="2:9" ht="15" x14ac:dyDescent="0.35">
      <c r="B25" s="4"/>
      <c r="C25" s="4"/>
      <c r="D25" s="4" t="s">
        <v>53</v>
      </c>
      <c r="E25" s="4"/>
      <c r="F25" s="4"/>
      <c r="G25" s="43">
        <f>'1. Repl. Heif. SPA ReproData '!F113</f>
        <v>525</v>
      </c>
      <c r="H25" s="4"/>
      <c r="I25" s="4"/>
    </row>
    <row r="26" spans="2:9" ht="15" x14ac:dyDescent="0.35">
      <c r="B26" s="4"/>
      <c r="C26" s="4"/>
      <c r="D26" s="4"/>
      <c r="E26" s="4"/>
      <c r="F26" s="4"/>
      <c r="G26" s="4"/>
      <c r="H26" s="4"/>
      <c r="I26" s="4"/>
    </row>
    <row r="27" spans="2:9" ht="15" x14ac:dyDescent="0.35">
      <c r="B27" s="4"/>
      <c r="C27" s="4"/>
      <c r="D27" s="4" t="s">
        <v>54</v>
      </c>
      <c r="E27" s="4"/>
      <c r="F27" s="4"/>
      <c r="G27" s="43">
        <f>'1. Repl. Heif. SPA ReproData '!F115</f>
        <v>537.78409090909088</v>
      </c>
      <c r="H27" s="4"/>
      <c r="I27" s="4"/>
    </row>
    <row r="28" spans="2:9" ht="15" x14ac:dyDescent="0.35">
      <c r="B28" s="4"/>
      <c r="C28" s="4"/>
      <c r="D28" s="4"/>
      <c r="E28" s="4"/>
      <c r="F28" s="4"/>
      <c r="G28" s="4"/>
      <c r="H28" s="4"/>
      <c r="I28" s="4"/>
    </row>
    <row r="29" spans="2:9" ht="15" x14ac:dyDescent="0.35">
      <c r="B29" s="4"/>
      <c r="C29" s="4" t="s">
        <v>124</v>
      </c>
      <c r="D29" s="4"/>
      <c r="E29" s="4"/>
      <c r="F29" s="4"/>
      <c r="G29" s="75">
        <f>G14*G27</f>
        <v>473.25</v>
      </c>
      <c r="H29" s="4"/>
      <c r="I29" s="4"/>
    </row>
    <row r="30" spans="2:9" ht="15" x14ac:dyDescent="0.35">
      <c r="B30" s="20" t="s">
        <v>98</v>
      </c>
      <c r="I30" s="4"/>
    </row>
    <row r="31" spans="2:9" ht="15" x14ac:dyDescent="0.35">
      <c r="B31" s="18"/>
      <c r="D31" s="4"/>
      <c r="E31" s="4"/>
      <c r="F31" s="4"/>
      <c r="G31" s="4"/>
      <c r="H31" s="4"/>
      <c r="I31" s="4"/>
    </row>
    <row r="32" spans="2:9" ht="15" x14ac:dyDescent="0.35">
      <c r="B32" s="18"/>
      <c r="D32" s="4"/>
      <c r="E32" s="4"/>
      <c r="F32" s="4"/>
      <c r="G32" s="4"/>
      <c r="H32" s="4"/>
      <c r="I32" s="4"/>
    </row>
  </sheetData>
  <phoneticPr fontId="6" type="noConversion"/>
  <pageMargins left="1" right="0.5" top="1" bottom="1" header="0.5" footer="0.5"/>
  <pageSetup orientation="portrait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3:W67"/>
  <sheetViews>
    <sheetView topLeftCell="A19" workbookViewId="0">
      <selection activeCell="I66" sqref="I66"/>
    </sheetView>
  </sheetViews>
  <sheetFormatPr defaultRowHeight="12.45" x14ac:dyDescent="0.3"/>
  <cols>
    <col min="1" max="1" width="4.84375" customWidth="1"/>
    <col min="22" max="22" width="12.84375" customWidth="1"/>
  </cols>
  <sheetData>
    <row r="13" spans="20:23" x14ac:dyDescent="0.3">
      <c r="U13" t="s">
        <v>51</v>
      </c>
    </row>
    <row r="14" spans="20:23" x14ac:dyDescent="0.3">
      <c r="U14" s="11" t="s">
        <v>45</v>
      </c>
      <c r="V14" s="11" t="s">
        <v>89</v>
      </c>
      <c r="W14" s="11" t="s">
        <v>90</v>
      </c>
    </row>
    <row r="15" spans="20:23" x14ac:dyDescent="0.3">
      <c r="T15" t="s">
        <v>7</v>
      </c>
      <c r="U15" s="63">
        <f>'2. SPA Performance Results'!G6</f>
        <v>0.9</v>
      </c>
      <c r="V15" s="63">
        <f>'2. SPA Performance Results'!G10</f>
        <v>0.9</v>
      </c>
      <c r="W15" s="63">
        <f>'2. SPA Performance Results'!G14</f>
        <v>0.88</v>
      </c>
    </row>
    <row r="34" spans="19:23" x14ac:dyDescent="0.3">
      <c r="T34" s="11" t="s">
        <v>121</v>
      </c>
      <c r="U34" s="11"/>
      <c r="V34" s="11" t="s">
        <v>91</v>
      </c>
      <c r="W34" s="11" t="s">
        <v>92</v>
      </c>
    </row>
    <row r="35" spans="19:23" x14ac:dyDescent="0.3">
      <c r="S35" t="s">
        <v>7</v>
      </c>
      <c r="T35" s="44">
        <f>'1. Repl. Heif. SPA ReproData '!H58</f>
        <v>0.01</v>
      </c>
      <c r="U35" s="44"/>
      <c r="V35" s="44">
        <f>'2. SPA Performance Results'!G8</f>
        <v>0</v>
      </c>
      <c r="W35" s="44">
        <f>'2. SPA Performance Results'!G12</f>
        <v>0.02</v>
      </c>
    </row>
    <row r="67" spans="2:11" x14ac:dyDescent="0.3">
      <c r="B67" s="20" t="s">
        <v>123</v>
      </c>
      <c r="K67" s="64">
        <f>'2. SPA Performance Results'!G16</f>
        <v>2.2222222222222223E-2</v>
      </c>
    </row>
  </sheetData>
  <phoneticPr fontId="6" type="noConversion"/>
  <pageMargins left="1" right="0.5" top="1" bottom="1" header="0.5" footer="0.5"/>
  <pageSetup scale="75" orientation="portrait" horizontalDpi="4294967293" r:id="rId1"/>
  <headerFooter alignWithMargins="0"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Repl. Heif. SPA ReproData </vt:lpstr>
      <vt:lpstr>2. SPA Performance Results</vt:lpstr>
      <vt:lpstr>3. SPA Performance Graphs</vt:lpstr>
      <vt:lpstr>'1. Repl. Heif. SPA ReproData '!Print_Area</vt:lpstr>
      <vt:lpstr>'2. SPA Performance Results'!Print_Area</vt:lpstr>
      <vt:lpstr>'3. SPA Performance Graphs'!Print_Area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2015-10-18T10:36:07Z</cp:lastPrinted>
  <dcterms:created xsi:type="dcterms:W3CDTF">2001-08-22T18:58:44Z</dcterms:created>
  <dcterms:modified xsi:type="dcterms:W3CDTF">2018-09-21T08:35:34Z</dcterms:modified>
</cp:coreProperties>
</file>