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F:\TAMU Decieion Aids 10-10-2018\1. Natural Service\"/>
    </mc:Choice>
  </mc:AlternateContent>
  <xr:revisionPtr revIDLastSave="0" documentId="13_ncr:1_{DA3B2DAE-629D-4147-B29D-77FAA53F13B6}" xr6:coauthVersionLast="37" xr6:coauthVersionMax="37" xr10:uidLastSave="{00000000-0000-0000-0000-000000000000}"/>
  <bookViews>
    <workbookView xWindow="0" yWindow="0" windowWidth="16457" windowHeight="5820" tabRatio="851" activeTab="1" xr2:uid="{00000000-000D-0000-FFFF-FFFF00000000}"/>
  </bookViews>
  <sheets>
    <sheet name="1. Description" sheetId="5" r:id="rId1"/>
    <sheet name="2. Bred Heifer Budget" sheetId="1" r:id="rId2"/>
    <sheet name="3.BredHeiferSensitivityAnalysis" sheetId="3" r:id="rId3"/>
    <sheet name="4. PairBudget" sheetId="7" r:id="rId4"/>
    <sheet name="5. Pair Sensitivity Analysis" sheetId="6" r:id="rId5"/>
    <sheet name="6. Summary" sheetId="8" r:id="rId6"/>
  </sheets>
  <definedNames>
    <definedName name="custom">#REF!</definedName>
    <definedName name="description">'1. Description'!$A$1</definedName>
    <definedName name="heifer_budget">'2. Bred Heifer Budget'!$B$1</definedName>
    <definedName name="heifer_sensitivity">'3.BredHeiferSensitivityAnalysis'!$B$1</definedName>
    <definedName name="menu">#REF!</definedName>
    <definedName name="pair_budget">'4. PairBudget'!$B$1</definedName>
    <definedName name="pair_sensitivity">'5. Pair Sensitivity Analysis'!$A$1</definedName>
    <definedName name="_xlnm.Print_Area" localSheetId="0">'1. Description'!$B$1:$G$58</definedName>
    <definedName name="_xlnm.Print_Area" localSheetId="1">'2. Bred Heifer Budget'!$B$1:$H$69</definedName>
    <definedName name="_xlnm.Print_Area" localSheetId="2">'3.BredHeiferSensitivityAnalysis'!$B$1:$I$30</definedName>
    <definedName name="_xlnm.Print_Area" localSheetId="3">'4. PairBudget'!$B$1:$H$69</definedName>
    <definedName name="_xlnm.Print_Area" localSheetId="4">'5. Pair Sensitivity Analysis'!$A$1:$H$30</definedName>
    <definedName name="_xlnm.Print_Area" localSheetId="5">'6. Summary'!$A$1:$F$64</definedName>
    <definedName name="summary">'6. Summary'!$A$1</definedName>
  </definedNames>
  <calcPr calcId="162913" iterate="1" iterateCount="1"/>
</workbook>
</file>

<file path=xl/calcChain.xml><?xml version="1.0" encoding="utf-8"?>
<calcChain xmlns="http://schemas.openxmlformats.org/spreadsheetml/2006/main">
  <c r="F31" i="1" l="1"/>
  <c r="V5" i="1" l="1"/>
  <c r="F8" i="1"/>
  <c r="V8" i="1" s="1"/>
  <c r="F9" i="1"/>
  <c r="F50" i="1" s="1"/>
  <c r="H50" i="1" s="1"/>
  <c r="F10" i="1"/>
  <c r="V10" i="1" s="1"/>
  <c r="F11" i="1"/>
  <c r="E13" i="1"/>
  <c r="U13" i="1" s="1"/>
  <c r="F14" i="1"/>
  <c r="F22" i="1"/>
  <c r="V24" i="1"/>
  <c r="V30" i="1"/>
  <c r="F34" i="1"/>
  <c r="E34" i="8" s="1"/>
  <c r="F34" i="8" s="1"/>
  <c r="U31" i="1"/>
  <c r="V32" i="1"/>
  <c r="U41" i="1"/>
  <c r="W41" i="1"/>
  <c r="X44" i="1"/>
  <c r="R46" i="1"/>
  <c r="S46" i="1"/>
  <c r="R47" i="1"/>
  <c r="S47" i="1"/>
  <c r="R48" i="1"/>
  <c r="S48" i="1"/>
  <c r="V48" i="1"/>
  <c r="X48" i="1" s="1"/>
  <c r="F49" i="1"/>
  <c r="H49" i="1" s="1"/>
  <c r="R49" i="1"/>
  <c r="S49" i="1"/>
  <c r="V49" i="1"/>
  <c r="R50" i="1"/>
  <c r="S50" i="1"/>
  <c r="R51" i="1"/>
  <c r="S51" i="1"/>
  <c r="R52" i="1"/>
  <c r="S52" i="1"/>
  <c r="R53" i="1"/>
  <c r="S53" i="1"/>
  <c r="T53" i="1"/>
  <c r="U53" i="1"/>
  <c r="X53" i="1"/>
  <c r="T54" i="1"/>
  <c r="U54" i="1"/>
  <c r="X54" i="1"/>
  <c r="B7" i="3"/>
  <c r="E7" i="3"/>
  <c r="E17" i="3"/>
  <c r="N25" i="3" s="1"/>
  <c r="F17" i="3"/>
  <c r="N23" i="3" s="1"/>
  <c r="H17" i="3"/>
  <c r="L19" i="3" s="1"/>
  <c r="I17" i="3"/>
  <c r="L21" i="3" s="1"/>
  <c r="N19" i="3"/>
  <c r="G4" i="5"/>
  <c r="G13" i="5"/>
  <c r="F29" i="1" s="1"/>
  <c r="G19" i="5"/>
  <c r="J19" i="5"/>
  <c r="K19" i="5"/>
  <c r="Q19" i="5"/>
  <c r="J20" i="5"/>
  <c r="K20" i="5"/>
  <c r="J22" i="5"/>
  <c r="J23" i="5"/>
  <c r="J31" i="5"/>
  <c r="J32" i="5"/>
  <c r="F51" i="5"/>
  <c r="E19" i="8" s="1"/>
  <c r="F56" i="5"/>
  <c r="G56" i="5" s="1"/>
  <c r="F23" i="8" s="1"/>
  <c r="A7" i="6"/>
  <c r="D7" i="6"/>
  <c r="J8" i="6"/>
  <c r="D17" i="6"/>
  <c r="K25" i="6" s="1"/>
  <c r="E17" i="6"/>
  <c r="K23" i="6" s="1"/>
  <c r="G17" i="6"/>
  <c r="K19" i="6" s="1"/>
  <c r="H17" i="6"/>
  <c r="M21" i="6" s="1"/>
  <c r="M19" i="6"/>
  <c r="V5" i="7"/>
  <c r="F8" i="7"/>
  <c r="V8" i="7"/>
  <c r="F9" i="7"/>
  <c r="V50" i="7" s="1"/>
  <c r="X50" i="7" s="1"/>
  <c r="F10" i="7"/>
  <c r="F11" i="7"/>
  <c r="E13" i="7"/>
  <c r="F14" i="7"/>
  <c r="F22" i="7"/>
  <c r="V24" i="7"/>
  <c r="F29" i="7"/>
  <c r="V30" i="7"/>
  <c r="F31" i="7"/>
  <c r="F34" i="7" s="1"/>
  <c r="U31" i="7"/>
  <c r="V32" i="7"/>
  <c r="U41" i="7"/>
  <c r="W41" i="7"/>
  <c r="X44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T53" i="7"/>
  <c r="U53" i="7"/>
  <c r="X53" i="7"/>
  <c r="T54" i="7"/>
  <c r="U54" i="7"/>
  <c r="X54" i="7"/>
  <c r="B3" i="8"/>
  <c r="F4" i="8"/>
  <c r="F7" i="8"/>
  <c r="F8" i="8"/>
  <c r="F9" i="8"/>
  <c r="A10" i="8"/>
  <c r="F11" i="8"/>
  <c r="F13" i="8"/>
  <c r="F16" i="8"/>
  <c r="E23" i="8"/>
  <c r="D30" i="8"/>
  <c r="F31" i="8"/>
  <c r="D49" i="8"/>
  <c r="F50" i="8"/>
  <c r="M25" i="6" l="1"/>
  <c r="F23" i="7"/>
  <c r="F25" i="7" s="1"/>
  <c r="F26" i="7" s="1"/>
  <c r="F23" i="1"/>
  <c r="F25" i="1" s="1"/>
  <c r="V10" i="7"/>
  <c r="K21" i="6"/>
  <c r="L23" i="3"/>
  <c r="L20" i="5"/>
  <c r="V9" i="1"/>
  <c r="L19" i="5"/>
  <c r="H22" i="7"/>
  <c r="N21" i="3"/>
  <c r="D62" i="8"/>
  <c r="J21" i="5"/>
  <c r="V49" i="7"/>
  <c r="X49" i="7" s="1"/>
  <c r="F48" i="1"/>
  <c r="H48" i="1" s="1"/>
  <c r="F53" i="7"/>
  <c r="H53" i="7" s="1"/>
  <c r="F53" i="1"/>
  <c r="V48" i="7"/>
  <c r="X48" i="7" s="1"/>
  <c r="D43" i="8"/>
  <c r="V23" i="7"/>
  <c r="W23" i="7" s="1"/>
  <c r="V51" i="7"/>
  <c r="X51" i="7" s="1"/>
  <c r="V9" i="7"/>
  <c r="F54" i="1"/>
  <c r="H54" i="1" s="1"/>
  <c r="V51" i="1"/>
  <c r="X51" i="1" s="1"/>
  <c r="F51" i="1"/>
  <c r="H51" i="1" s="1"/>
  <c r="V47" i="1"/>
  <c r="X47" i="1" s="1"/>
  <c r="F47" i="1"/>
  <c r="H47" i="1" s="1"/>
  <c r="U13" i="7"/>
  <c r="V52" i="1"/>
  <c r="X52" i="1" s="1"/>
  <c r="V50" i="1"/>
  <c r="X50" i="1" s="1"/>
  <c r="F12" i="1"/>
  <c r="F13" i="1" s="1"/>
  <c r="V31" i="1"/>
  <c r="V34" i="1" s="1"/>
  <c r="E53" i="8"/>
  <c r="V31" i="7"/>
  <c r="V34" i="7" s="1"/>
  <c r="F47" i="7"/>
  <c r="F48" i="7"/>
  <c r="F49" i="7"/>
  <c r="F50" i="7"/>
  <c r="F51" i="7"/>
  <c r="V52" i="7"/>
  <c r="F54" i="7"/>
  <c r="V47" i="7"/>
  <c r="X49" i="1"/>
  <c r="M23" i="6"/>
  <c r="J24" i="5"/>
  <c r="G22" i="5"/>
  <c r="K21" i="5"/>
  <c r="F12" i="7"/>
  <c r="L25" i="3"/>
  <c r="V23" i="1" l="1"/>
  <c r="V22" i="1" s="1"/>
  <c r="K9" i="3"/>
  <c r="G18" i="6"/>
  <c r="V22" i="7"/>
  <c r="L21" i="5"/>
  <c r="H53" i="1"/>
  <c r="V25" i="7"/>
  <c r="V26" i="7" s="1"/>
  <c r="F13" i="7"/>
  <c r="F16" i="7" s="1"/>
  <c r="K22" i="5"/>
  <c r="G26" i="5"/>
  <c r="G29" i="5" s="1"/>
  <c r="G51" i="5"/>
  <c r="F19" i="8" s="1"/>
  <c r="F10" i="8"/>
  <c r="H51" i="7"/>
  <c r="H47" i="7"/>
  <c r="F53" i="8"/>
  <c r="V13" i="1"/>
  <c r="V13" i="7"/>
  <c r="F16" i="1"/>
  <c r="F26" i="1"/>
  <c r="X47" i="7"/>
  <c r="H50" i="7"/>
  <c r="H54" i="7"/>
  <c r="H49" i="7"/>
  <c r="V25" i="1"/>
  <c r="V26" i="1" s="1"/>
  <c r="X52" i="7"/>
  <c r="H48" i="7"/>
  <c r="W23" i="1" l="1"/>
  <c r="F18" i="7"/>
  <c r="F44" i="7" s="1"/>
  <c r="B25" i="6"/>
  <c r="F18" i="1"/>
  <c r="F44" i="1" s="1"/>
  <c r="C25" i="3"/>
  <c r="Q29" i="5"/>
  <c r="G32" i="5"/>
  <c r="F27" i="1"/>
  <c r="K23" i="5"/>
  <c r="L23" i="5" s="1"/>
  <c r="G52" i="5"/>
  <c r="F20" i="8" s="1"/>
  <c r="G34" i="5"/>
  <c r="F52" i="5"/>
  <c r="E20" i="8" s="1"/>
  <c r="K24" i="5"/>
  <c r="L22" i="5"/>
  <c r="L24" i="5" l="1"/>
  <c r="L26" i="5" s="1"/>
  <c r="L27" i="5" s="1"/>
  <c r="D46" i="1" s="1"/>
  <c r="G39" i="5"/>
  <c r="F12" i="8"/>
  <c r="D28" i="8" s="1"/>
  <c r="K31" i="5"/>
  <c r="L31" i="5" s="1"/>
  <c r="F33" i="1"/>
  <c r="G44" i="1" s="1"/>
  <c r="G45" i="5"/>
  <c r="G47" i="5" s="1"/>
  <c r="Q43" i="5"/>
  <c r="Q44" i="5" s="1"/>
  <c r="H44" i="1"/>
  <c r="H44" i="7"/>
  <c r="C23" i="3"/>
  <c r="C26" i="3"/>
  <c r="Q12" i="3"/>
  <c r="C24" i="3"/>
  <c r="C27" i="3"/>
  <c r="F28" i="1"/>
  <c r="E52" i="1" s="1"/>
  <c r="F52" i="1" s="1"/>
  <c r="B23" i="6"/>
  <c r="B26" i="6"/>
  <c r="P12" i="6"/>
  <c r="B24" i="6"/>
  <c r="B27" i="6"/>
  <c r="R12" i="3" l="1"/>
  <c r="P13" i="6"/>
  <c r="Q13" i="6" s="1"/>
  <c r="Q13" i="3"/>
  <c r="R13" i="3" s="1"/>
  <c r="G53" i="5"/>
  <c r="F21" i="8" s="1"/>
  <c r="F53" i="5"/>
  <c r="E21" i="8" s="1"/>
  <c r="F15" i="8"/>
  <c r="E54" i="5"/>
  <c r="C22" i="8" s="1"/>
  <c r="F33" i="7"/>
  <c r="D47" i="8"/>
  <c r="Q46" i="5"/>
  <c r="K32" i="5"/>
  <c r="L32" i="5" s="1"/>
  <c r="L33" i="5" s="1"/>
  <c r="L35" i="5" s="1"/>
  <c r="L36" i="5" s="1"/>
  <c r="D46" i="7" s="1"/>
  <c r="Q40" i="5"/>
  <c r="G43" i="5"/>
  <c r="F28" i="7" s="1"/>
  <c r="E52" i="7" s="1"/>
  <c r="F52" i="7" s="1"/>
  <c r="G57" i="5"/>
  <c r="E24" i="8" s="1"/>
  <c r="F27" i="7"/>
  <c r="P14" i="6"/>
  <c r="P11" i="6"/>
  <c r="Q11" i="6" s="1"/>
  <c r="Q14" i="3"/>
  <c r="R14" i="3" s="1"/>
  <c r="W44" i="1"/>
  <c r="G53" i="1"/>
  <c r="V33" i="1"/>
  <c r="V36" i="1" s="1"/>
  <c r="G48" i="1"/>
  <c r="W52" i="1"/>
  <c r="W53" i="1"/>
  <c r="G47" i="1"/>
  <c r="G51" i="1"/>
  <c r="W47" i="1"/>
  <c r="G50" i="1"/>
  <c r="G49" i="1"/>
  <c r="G54" i="1"/>
  <c r="W54" i="1"/>
  <c r="W50" i="1"/>
  <c r="W51" i="1"/>
  <c r="W49" i="1"/>
  <c r="W48" i="1"/>
  <c r="F36" i="1"/>
  <c r="P10" i="6"/>
  <c r="Q11" i="3"/>
  <c r="R11" i="3" s="1"/>
  <c r="Q10" i="3"/>
  <c r="R10" i="3" s="1"/>
  <c r="G52" i="1"/>
  <c r="H52" i="1"/>
  <c r="F46" i="1"/>
  <c r="I18" i="3"/>
  <c r="L42" i="1"/>
  <c r="H18" i="3"/>
  <c r="T46" i="1"/>
  <c r="F18" i="3"/>
  <c r="J9" i="6"/>
  <c r="E18" i="3"/>
  <c r="M23" i="3"/>
  <c r="L46" i="1"/>
  <c r="N13" i="3" s="1"/>
  <c r="K13" i="3"/>
  <c r="Q48" i="5" l="1"/>
  <c r="G46" i="1"/>
  <c r="H46" i="1"/>
  <c r="M21" i="3"/>
  <c r="L44" i="1"/>
  <c r="Q14" i="6"/>
  <c r="F24" i="8"/>
  <c r="L24" i="8"/>
  <c r="M19" i="3"/>
  <c r="Q10" i="6"/>
  <c r="G52" i="7"/>
  <c r="H52" i="7"/>
  <c r="H18" i="6"/>
  <c r="F46" i="7"/>
  <c r="L44" i="7" s="1"/>
  <c r="E18" i="6"/>
  <c r="T46" i="7"/>
  <c r="D18" i="6"/>
  <c r="L42" i="7"/>
  <c r="L46" i="7"/>
  <c r="M13" i="6" s="1"/>
  <c r="J13" i="6"/>
  <c r="M25" i="3"/>
  <c r="K11" i="3"/>
  <c r="O23" i="3" s="1"/>
  <c r="P23" i="3" s="1"/>
  <c r="AB42" i="1"/>
  <c r="AB46" i="1"/>
  <c r="Q12" i="6"/>
  <c r="W44" i="7"/>
  <c r="V33" i="7"/>
  <c r="V36" i="7" s="1"/>
  <c r="W50" i="7"/>
  <c r="W53" i="7"/>
  <c r="W54" i="7"/>
  <c r="W49" i="7"/>
  <c r="W51" i="7"/>
  <c r="W48" i="7"/>
  <c r="F36" i="7"/>
  <c r="G53" i="7"/>
  <c r="G47" i="7"/>
  <c r="G50" i="7"/>
  <c r="G54" i="7"/>
  <c r="G51" i="7"/>
  <c r="G48" i="7"/>
  <c r="W47" i="7"/>
  <c r="G49" i="7"/>
  <c r="W52" i="7"/>
  <c r="G44" i="7"/>
  <c r="L21" i="6" l="1"/>
  <c r="L23" i="6"/>
  <c r="O25" i="3"/>
  <c r="P25" i="3" s="1"/>
  <c r="M11" i="6"/>
  <c r="R12" i="6" s="1"/>
  <c r="F25" i="6" s="1"/>
  <c r="L51" i="7"/>
  <c r="AB42" i="7"/>
  <c r="AB46" i="7"/>
  <c r="G46" i="7"/>
  <c r="H46" i="7"/>
  <c r="L25" i="6"/>
  <c r="L19" i="6"/>
  <c r="L51" i="1"/>
  <c r="N11" i="3"/>
  <c r="J11" i="6"/>
  <c r="O19" i="3"/>
  <c r="P19" i="3" s="1"/>
  <c r="K15" i="3"/>
  <c r="O21" i="3"/>
  <c r="P21" i="3" s="1"/>
  <c r="R10" i="6" l="1"/>
  <c r="F23" i="6" s="1"/>
  <c r="N21" i="6"/>
  <c r="O21" i="6" s="1"/>
  <c r="R14" i="6"/>
  <c r="F27" i="6" s="1"/>
  <c r="N23" i="6"/>
  <c r="O23" i="6" s="1"/>
  <c r="E25" i="6" s="1"/>
  <c r="N15" i="3"/>
  <c r="S12" i="3"/>
  <c r="G25" i="3" s="1"/>
  <c r="S10" i="3"/>
  <c r="G23" i="3" s="1"/>
  <c r="S14" i="3"/>
  <c r="G27" i="3" s="1"/>
  <c r="S11" i="3"/>
  <c r="G24" i="3" s="1"/>
  <c r="S13" i="3"/>
  <c r="G26" i="3" s="1"/>
  <c r="N25" i="6"/>
  <c r="O25" i="6" s="1"/>
  <c r="H42" i="1"/>
  <c r="H42" i="7"/>
  <c r="J15" i="6"/>
  <c r="N19" i="6"/>
  <c r="O19" i="6" s="1"/>
  <c r="M15" i="6"/>
  <c r="R13" i="6"/>
  <c r="F26" i="6" s="1"/>
  <c r="R11" i="6"/>
  <c r="F24" i="6" s="1"/>
  <c r="H23" i="6" l="1"/>
  <c r="G27" i="6"/>
  <c r="E23" i="6"/>
  <c r="H25" i="6"/>
  <c r="E27" i="6"/>
  <c r="H27" i="6"/>
  <c r="D27" i="6"/>
  <c r="G23" i="6"/>
  <c r="D25" i="6"/>
  <c r="H55" i="7"/>
  <c r="F43" i="7"/>
  <c r="G25" i="6"/>
  <c r="I23" i="3"/>
  <c r="H23" i="3"/>
  <c r="E23" i="3"/>
  <c r="F23" i="3"/>
  <c r="D23" i="6"/>
  <c r="E24" i="3"/>
  <c r="F24" i="3"/>
  <c r="I24" i="3"/>
  <c r="H24" i="3"/>
  <c r="H55" i="1"/>
  <c r="F43" i="1"/>
  <c r="F27" i="3"/>
  <c r="H27" i="3"/>
  <c r="E27" i="3"/>
  <c r="I27" i="3"/>
  <c r="H24" i="6"/>
  <c r="G24" i="6"/>
  <c r="E24" i="6"/>
  <c r="D24" i="6"/>
  <c r="D26" i="6"/>
  <c r="G26" i="6"/>
  <c r="H26" i="6"/>
  <c r="E26" i="6"/>
  <c r="E26" i="3"/>
  <c r="F26" i="3"/>
  <c r="H26" i="3"/>
  <c r="I26" i="3"/>
  <c r="E25" i="3"/>
  <c r="I25" i="3"/>
  <c r="F25" i="3"/>
  <c r="H25" i="3"/>
  <c r="G43" i="7" l="1"/>
  <c r="K59" i="7"/>
  <c r="F16" i="6" s="1"/>
  <c r="F19" i="6" s="1"/>
  <c r="E43" i="7"/>
  <c r="F55" i="7"/>
  <c r="K57" i="7"/>
  <c r="G43" i="1"/>
  <c r="K59" i="1"/>
  <c r="G16" i="3" s="1"/>
  <c r="G19" i="3" s="1"/>
  <c r="F55" i="1"/>
  <c r="K57" i="1"/>
  <c r="E43" i="1"/>
  <c r="H57" i="1"/>
  <c r="F32" i="8" s="1"/>
  <c r="F35" i="8" s="1"/>
  <c r="H61" i="1"/>
  <c r="H65" i="1" s="1"/>
  <c r="G65" i="1"/>
  <c r="H57" i="7"/>
  <c r="F51" i="8" s="1"/>
  <c r="F54" i="8" s="1"/>
  <c r="H61" i="7"/>
  <c r="H65" i="7" s="1"/>
  <c r="G65" i="7"/>
  <c r="U46" i="7" l="1"/>
  <c r="V46" i="7" s="1"/>
  <c r="D59" i="7"/>
  <c r="H19" i="3"/>
  <c r="E19" i="3"/>
  <c r="F19" i="3"/>
  <c r="I19" i="3"/>
  <c r="G57" i="7"/>
  <c r="E51" i="8" s="1"/>
  <c r="E54" i="8" s="1"/>
  <c r="L58" i="7"/>
  <c r="F61" i="7"/>
  <c r="U46" i="1"/>
  <c r="V46" i="1" s="1"/>
  <c r="D59" i="1"/>
  <c r="G19" i="6"/>
  <c r="D19" i="6"/>
  <c r="H19" i="6"/>
  <c r="E19" i="6"/>
  <c r="G57" i="1"/>
  <c r="E32" i="8" s="1"/>
  <c r="E35" i="8" s="1"/>
  <c r="L58" i="1"/>
  <c r="F61" i="1"/>
  <c r="E38" i="8" l="1"/>
  <c r="E37" i="8"/>
  <c r="L59" i="1"/>
  <c r="L60" i="1" s="1"/>
  <c r="F65" i="1"/>
  <c r="E40" i="8" s="1"/>
  <c r="W46" i="1"/>
  <c r="X46" i="1"/>
  <c r="AB44" i="1"/>
  <c r="AB51" i="1" s="1"/>
  <c r="E56" i="8"/>
  <c r="L59" i="7"/>
  <c r="L60" i="7" s="1"/>
  <c r="E57" i="8"/>
  <c r="F65" i="7"/>
  <c r="E59" i="8" s="1"/>
  <c r="W46" i="7"/>
  <c r="X46" i="7"/>
  <c r="AB44" i="7"/>
  <c r="AB51" i="7" s="1"/>
  <c r="X42" i="1" l="1"/>
  <c r="X42" i="7"/>
  <c r="V43" i="7" l="1"/>
  <c r="X55" i="7"/>
  <c r="Z59" i="7"/>
  <c r="V43" i="1"/>
  <c r="X55" i="1"/>
  <c r="Z59" i="1"/>
  <c r="W43" i="1" l="1"/>
  <c r="V55" i="1"/>
  <c r="U43" i="1"/>
  <c r="Z57" i="1"/>
  <c r="X57" i="7"/>
  <c r="X61" i="7"/>
  <c r="X65" i="7" s="1"/>
  <c r="W65" i="7"/>
  <c r="X57" i="1"/>
  <c r="X61" i="1"/>
  <c r="X65" i="1" s="1"/>
  <c r="W65" i="1"/>
  <c r="U43" i="7"/>
  <c r="V55" i="7"/>
  <c r="W43" i="7"/>
  <c r="Z57" i="7"/>
  <c r="W57" i="7" l="1"/>
  <c r="AB58" i="7"/>
  <c r="V61" i="7"/>
  <c r="W57" i="1"/>
  <c r="AB58" i="1"/>
  <c r="V61" i="1"/>
  <c r="AB59" i="7" l="1"/>
  <c r="AB60" i="7" s="1"/>
  <c r="V65" i="7"/>
  <c r="AB59" i="1"/>
  <c r="AB60" i="1" s="1"/>
  <c r="V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B45" authorId="0" shapeId="0" xr:uid="{00000000-0006-0000-0100-000001000000}">
      <text>
        <r>
          <rPr>
            <b/>
            <sz val="8"/>
            <color indexed="81"/>
            <rFont val="Tahoma"/>
          </rPr>
          <t xml:space="preserve"> Include facilities, feed, pasture, machinery &amp; vehicle and labor costs or feedyard cost.</t>
        </r>
        <r>
          <rPr>
            <sz val="8"/>
            <color indexed="81"/>
            <rFont val="Tahoma"/>
          </rPr>
          <t xml:space="preserve">
</t>
        </r>
      </text>
    </comment>
    <comment ref="R45" authorId="0" shapeId="0" xr:uid="{00000000-0006-0000-0100-000002000000}">
      <text>
        <r>
          <rPr>
            <b/>
            <sz val="8"/>
            <color indexed="81"/>
            <rFont val="Tahoma"/>
          </rPr>
          <t xml:space="preserve"> Include facilities, feed, pasture, machinery &amp; vehicle and labor costs or feedyard cost.</t>
        </r>
        <r>
          <rPr>
            <sz val="8"/>
            <color indexed="81"/>
            <rFont val="Tahoma"/>
          </rPr>
          <t xml:space="preserve">
</t>
        </r>
      </text>
    </comment>
    <comment ref="H61" authorId="0" shapeId="0" xr:uid="{00000000-0006-0000-0100-000003000000}">
      <text>
        <r>
          <rPr>
            <b/>
            <sz val="8"/>
            <color indexed="81"/>
            <rFont val="Tahoma"/>
          </rPr>
          <t>Opportunity cost of capital is included in costs.</t>
        </r>
        <r>
          <rPr>
            <sz val="8"/>
            <color indexed="81"/>
            <rFont val="Tahoma"/>
          </rPr>
          <t xml:space="preserve">
</t>
        </r>
      </text>
    </comment>
    <comment ref="X61" authorId="0" shapeId="0" xr:uid="{00000000-0006-0000-0100-000004000000}">
      <text>
        <r>
          <rPr>
            <b/>
            <sz val="8"/>
            <color indexed="81"/>
            <rFont val="Tahoma"/>
          </rPr>
          <t xml:space="preserve"> Opportunity cost of capital is included in costs.</t>
        </r>
        <r>
          <rPr>
            <sz val="8"/>
            <color indexed="81"/>
            <rFont val="Tahoma"/>
          </rPr>
          <t xml:space="preserve">
</t>
        </r>
      </text>
    </comment>
    <comment ref="G64" authorId="0" shapeId="0" xr:uid="{00000000-0006-0000-0100-000005000000}">
      <text>
        <r>
          <rPr>
            <b/>
            <sz val="8"/>
            <color indexed="81"/>
            <rFont val="Tahoma"/>
          </rPr>
          <t>Target margin plus actual or opportunity cost interest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  <comment ref="H64" authorId="0" shapeId="0" xr:uid="{00000000-0006-0000-0100-000006000000}">
      <text>
        <r>
          <rPr>
            <b/>
            <sz val="8"/>
            <color indexed="81"/>
            <rFont val="Tahoma"/>
          </rPr>
          <t>Target + opportunity. cost of capital + net income divided by annualized capital required.</t>
        </r>
      </text>
    </comment>
    <comment ref="W64" authorId="0" shapeId="0" xr:uid="{00000000-0006-0000-0100-000007000000}">
      <text>
        <r>
          <rPr>
            <b/>
            <sz val="8"/>
            <color indexed="81"/>
            <rFont val="Tahoma"/>
          </rPr>
          <t xml:space="preserve"> Target margin plus actual or opportunity cost interest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  <comment ref="X64" authorId="0" shapeId="0" xr:uid="{00000000-0006-0000-0100-000008000000}">
      <text>
        <r>
          <rPr>
            <b/>
            <sz val="8"/>
            <color indexed="81"/>
            <rFont val="Tahoma"/>
          </rPr>
          <t xml:space="preserve"> Target + opportunity. cost of capital + net income divided by annualized capital required.</t>
        </r>
      </text>
    </comment>
    <comment ref="F65" authorId="0" shapeId="0" xr:uid="{00000000-0006-0000-0100-000009000000}">
      <text>
        <r>
          <rPr>
            <b/>
            <sz val="8"/>
            <color indexed="81"/>
            <rFont val="Tahoma"/>
          </rPr>
          <t>Net income + target margin + interest paid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  <comment ref="V65" authorId="0" shapeId="0" xr:uid="{00000000-0006-0000-0100-00000A000000}">
      <text>
        <r>
          <rPr>
            <b/>
            <sz val="8"/>
            <color indexed="81"/>
            <rFont val="Tahoma"/>
          </rPr>
          <t>Net income + target margin + interest paid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B45" authorId="0" shapeId="0" xr:uid="{00000000-0006-0000-0300-000001000000}">
      <text>
        <r>
          <rPr>
            <b/>
            <sz val="8"/>
            <color indexed="81"/>
            <rFont val="Tahoma"/>
          </rPr>
          <t xml:space="preserve"> Include facilities, feed, pasture, machinery &amp; vehicle and labor costs or feedyard cost.</t>
        </r>
        <r>
          <rPr>
            <sz val="8"/>
            <color indexed="81"/>
            <rFont val="Tahoma"/>
          </rPr>
          <t xml:space="preserve">
</t>
        </r>
      </text>
    </comment>
    <comment ref="R45" authorId="0" shapeId="0" xr:uid="{00000000-0006-0000-0300-000002000000}">
      <text>
        <r>
          <rPr>
            <b/>
            <sz val="8"/>
            <color indexed="81"/>
            <rFont val="Tahoma"/>
          </rPr>
          <t xml:space="preserve"> Include facilities, feed, pasture, machinery &amp; vehicle and labor costs or feedyard cost.</t>
        </r>
        <r>
          <rPr>
            <sz val="8"/>
            <color indexed="81"/>
            <rFont val="Tahoma"/>
          </rPr>
          <t xml:space="preserve">
</t>
        </r>
      </text>
    </comment>
    <comment ref="H61" authorId="0" shapeId="0" xr:uid="{00000000-0006-0000-0300-000003000000}">
      <text>
        <r>
          <rPr>
            <b/>
            <sz val="8"/>
            <color indexed="81"/>
            <rFont val="Tahoma"/>
          </rPr>
          <t xml:space="preserve"> Opportunity cost of capital is included in costs.</t>
        </r>
        <r>
          <rPr>
            <sz val="8"/>
            <color indexed="81"/>
            <rFont val="Tahoma"/>
          </rPr>
          <t xml:space="preserve">
</t>
        </r>
      </text>
    </comment>
    <comment ref="X61" authorId="0" shapeId="0" xr:uid="{00000000-0006-0000-0300-000004000000}">
      <text>
        <r>
          <rPr>
            <b/>
            <sz val="8"/>
            <color indexed="81"/>
            <rFont val="Tahoma"/>
          </rPr>
          <t xml:space="preserve"> Opportunity cost of capital is included in costs.</t>
        </r>
        <r>
          <rPr>
            <sz val="8"/>
            <color indexed="81"/>
            <rFont val="Tahoma"/>
          </rPr>
          <t xml:space="preserve">
</t>
        </r>
      </text>
    </comment>
    <comment ref="G64" authorId="0" shapeId="0" xr:uid="{00000000-0006-0000-0300-000005000000}">
      <text>
        <r>
          <rPr>
            <b/>
            <sz val="8"/>
            <color indexed="81"/>
            <rFont val="Tahoma"/>
          </rPr>
          <t>Target margin plus actual or opportunity cost interest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  <comment ref="H64" authorId="0" shapeId="0" xr:uid="{00000000-0006-0000-0300-000006000000}">
      <text>
        <r>
          <rPr>
            <b/>
            <sz val="8"/>
            <color indexed="81"/>
            <rFont val="Tahoma"/>
          </rPr>
          <t>Target + opportunity. cost of capital + net income divided by annualized capital required.</t>
        </r>
      </text>
    </comment>
    <comment ref="W64" authorId="0" shapeId="0" xr:uid="{00000000-0006-0000-0300-000007000000}">
      <text>
        <r>
          <rPr>
            <b/>
            <sz val="8"/>
            <color indexed="81"/>
            <rFont val="Tahoma"/>
          </rPr>
          <t xml:space="preserve"> Target margin plus actual or opportunity cost interest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  <comment ref="X64" authorId="0" shapeId="0" xr:uid="{00000000-0006-0000-0300-000008000000}">
      <text>
        <r>
          <rPr>
            <b/>
            <sz val="8"/>
            <color indexed="81"/>
            <rFont val="Tahoma"/>
          </rPr>
          <t xml:space="preserve"> Target + opportunity. cost of capital + net income divided by annualized capital required.</t>
        </r>
      </text>
    </comment>
    <comment ref="F65" authorId="0" shapeId="0" xr:uid="{00000000-0006-0000-0300-000009000000}">
      <text>
        <r>
          <rPr>
            <b/>
            <sz val="8"/>
            <color indexed="81"/>
            <rFont val="Tahoma"/>
          </rPr>
          <t>Net income + target margin + interest paid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  <comment ref="V65" authorId="0" shapeId="0" xr:uid="{00000000-0006-0000-0300-00000A000000}">
      <text>
        <r>
          <rPr>
            <b/>
            <sz val="8"/>
            <color indexed="81"/>
            <rFont val="Tahoma"/>
          </rPr>
          <t>Net income + target margin + interest paid divided by annualized capital required.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<sst xmlns="http://schemas.openxmlformats.org/spreadsheetml/2006/main" count="721" uniqueCount="262">
  <si>
    <t>Date of Analysis</t>
  </si>
  <si>
    <t xml:space="preserve">     Date Marketed</t>
  </si>
  <si>
    <t>Head</t>
  </si>
  <si>
    <t>%</t>
  </si>
  <si>
    <t xml:space="preserve">     Marketing Costs - Commissions</t>
  </si>
  <si>
    <t>% - $/Head</t>
  </si>
  <si>
    <t>$/Head</t>
  </si>
  <si>
    <t>-</t>
  </si>
  <si>
    <t xml:space="preserve">     Average Daily Gain </t>
  </si>
  <si>
    <t>Lb./Day</t>
  </si>
  <si>
    <t>Lb./Head</t>
  </si>
  <si>
    <t xml:space="preserve">     Number Marketed (Net of Death Loss)</t>
  </si>
  <si>
    <t>Total Sales Value (Based on Head Marketed)</t>
  </si>
  <si>
    <t>Financial</t>
  </si>
  <si>
    <t>Total Difference in Gross Revenue (Marginal Revenue)</t>
  </si>
  <si>
    <t>Rate of Interest</t>
  </si>
  <si>
    <t>Annualized</t>
  </si>
  <si>
    <t xml:space="preserve">   Borrowed or Opportunity Cost of Equity Capital</t>
  </si>
  <si>
    <t xml:space="preserve"> % Borrowed </t>
  </si>
  <si>
    <t>%       Rate</t>
  </si>
  <si>
    <t>Interest Rate</t>
  </si>
  <si>
    <t>Total</t>
  </si>
  <si>
    <t xml:space="preserve">   Cash Interest Cost</t>
  </si>
  <si>
    <t>$/Hd.</t>
  </si>
  <si>
    <t>$/Unit</t>
  </si>
  <si>
    <t>Feed</t>
  </si>
  <si>
    <t xml:space="preserve">     Days </t>
  </si>
  <si>
    <t>Cattle</t>
  </si>
  <si>
    <t xml:space="preserve">   Other</t>
  </si>
  <si>
    <t xml:space="preserve">   Management Cost or Return</t>
  </si>
  <si>
    <t>Total Specified Added Costs (Marginal Cost)</t>
  </si>
  <si>
    <t xml:space="preserve"> Economic</t>
  </si>
  <si>
    <t>Units/Hd</t>
  </si>
  <si>
    <t xml:space="preserve">   Target</t>
  </si>
  <si>
    <t xml:space="preserve">    Actual</t>
  </si>
  <si>
    <t>Total Assets</t>
  </si>
  <si>
    <t xml:space="preserve">         Economic</t>
  </si>
  <si>
    <t>Return on Assets %</t>
  </si>
  <si>
    <t>Return to Assets = Net + Target Margin + Cash Interest</t>
  </si>
  <si>
    <t>Financial Performance</t>
  </si>
  <si>
    <t xml:space="preserve">   Opportunity Cost of Equity Capital If Invested</t>
  </si>
  <si>
    <t xml:space="preserve">   Processing and Health</t>
  </si>
  <si>
    <t xml:space="preserve">   General and Administrative</t>
  </si>
  <si>
    <t>Target Net Margin Per Head Objective</t>
  </si>
  <si>
    <t>Cost of Nutrition, Health and Other Costs</t>
  </si>
  <si>
    <t>Decision Description</t>
  </si>
  <si>
    <t>$</t>
  </si>
  <si>
    <t>Economic*</t>
  </si>
  <si>
    <t xml:space="preserve">Interval of Change For Analysis Table </t>
  </si>
  <si>
    <t/>
  </si>
  <si>
    <t>Input</t>
  </si>
  <si>
    <t>Economic Interest Cost</t>
  </si>
  <si>
    <t>Feed &amp; Other Costs</t>
  </si>
  <si>
    <t>Total Interest</t>
  </si>
  <si>
    <t>Cash Cost</t>
  </si>
  <si>
    <t>Total Cash</t>
  </si>
  <si>
    <t>Added</t>
  </si>
  <si>
    <t>Interest</t>
  </si>
  <si>
    <t>Net Added</t>
  </si>
  <si>
    <t>% Borrowed</t>
  </si>
  <si>
    <t>Investment</t>
  </si>
  <si>
    <t xml:space="preserve"> Total</t>
  </si>
  <si>
    <t>Change</t>
  </si>
  <si>
    <t>Annualized Interest Rate</t>
  </si>
  <si>
    <t>Cost of Gain</t>
  </si>
  <si>
    <t>Decrease</t>
  </si>
  <si>
    <t>Increase</t>
  </si>
  <si>
    <t>Change and Associated Calculated Values</t>
  </si>
  <si>
    <t xml:space="preserve">   At Best Buy Option - Describe</t>
  </si>
  <si>
    <t xml:space="preserve">     Date Purchased</t>
  </si>
  <si>
    <t xml:space="preserve">     No. of Cattle Purchased</t>
  </si>
  <si>
    <t xml:space="preserve">     Other Purchase or Costs - Commissions</t>
  </si>
  <si>
    <t xml:space="preserve">    Total Cost</t>
  </si>
  <si>
    <t xml:space="preserve">     Purchase Costs - Per Head Charges</t>
  </si>
  <si>
    <t>Total Projected Expenses</t>
  </si>
  <si>
    <t>Annualized Return on Assets - ROA - (Including Net Margin Objective)      %</t>
  </si>
  <si>
    <t>*Economic costs include an opportunity cost for capital invested in cattle on feed and other cost of gain adjusted for the time</t>
  </si>
  <si>
    <t xml:space="preserve"> on feed. Ensure costs are full costs (don't include interest to prevent double counting; do include business overhead).</t>
  </si>
  <si>
    <t xml:space="preserve">   Cost Based on Days Fed and/or Grazed</t>
  </si>
  <si>
    <t xml:space="preserve"> Purchase Heifer Calf to Grow    </t>
  </si>
  <si>
    <t xml:space="preserve">     Gross Heifer Cost</t>
  </si>
  <si>
    <t xml:space="preserve">      Days Held</t>
  </si>
  <si>
    <t xml:space="preserve">     Beginning Weight</t>
  </si>
  <si>
    <t xml:space="preserve">     Weight  at Sales</t>
  </si>
  <si>
    <t xml:space="preserve">     Net Gain</t>
  </si>
  <si>
    <t xml:space="preserve">Lb./Head </t>
  </si>
  <si>
    <t xml:space="preserve">     Net Sales Revenue Per Head</t>
  </si>
  <si>
    <t>Cost</t>
  </si>
  <si>
    <t xml:space="preserve">    Heifer Cost</t>
  </si>
  <si>
    <t>Change in Cost Per Head</t>
  </si>
  <si>
    <r>
      <t>Non-Cattle Costs</t>
    </r>
    <r>
      <rPr>
        <sz val="12"/>
        <rFont val="Arial"/>
        <family val="2"/>
      </rPr>
      <t xml:space="preserve"> With Cash Interest</t>
    </r>
  </si>
  <si>
    <t xml:space="preserve">     Marketing Costs Total Charges</t>
  </si>
  <si>
    <t xml:space="preserve">     Net Purchase Cost Per Head</t>
  </si>
  <si>
    <t xml:space="preserve">     Gross Sales Income</t>
  </si>
  <si>
    <t xml:space="preserve">   Months</t>
  </si>
  <si>
    <t xml:space="preserve">  $/Head</t>
  </si>
  <si>
    <t xml:space="preserve">    Total</t>
  </si>
  <si>
    <t>Production Cost Per Head</t>
  </si>
  <si>
    <t>*Price necessary to achieve targeted net margin objective. Includes marketing costs in addition to production costs.</t>
  </si>
  <si>
    <t xml:space="preserve">    Total Production Cost</t>
  </si>
  <si>
    <t>Different In-Price, Cost and Necessary Out-Prices*</t>
  </si>
  <si>
    <t xml:space="preserve">Description of Alternative  </t>
  </si>
  <si>
    <t>Direct Sale</t>
  </si>
  <si>
    <t>Per Day</t>
  </si>
  <si>
    <t>Custom Fed Heifers</t>
  </si>
  <si>
    <t>Total Specified Costs</t>
  </si>
  <si>
    <t xml:space="preserve">   Total Purchase Cost of Cattle</t>
  </si>
  <si>
    <t>This Section IS Not to Be Changed - a Zero Purchase Price Is for Analysis</t>
  </si>
  <si>
    <t xml:space="preserve">      $/Day</t>
  </si>
  <si>
    <t>Non - Cattle</t>
  </si>
  <si>
    <t>Cost of Gain, In-Price of Cattle and Sales Price Necessary to Reach Targeted Net Margin*</t>
  </si>
  <si>
    <t xml:space="preserve">Net Income </t>
  </si>
  <si>
    <t>Net Income</t>
  </si>
  <si>
    <t>Target Net Financial Margin Per Head Objective</t>
  </si>
  <si>
    <t xml:space="preserve">Total Cost </t>
  </si>
  <si>
    <t xml:space="preserve">   Breeding</t>
  </si>
  <si>
    <t>Calculated Non-Cattle Cost Per Head</t>
  </si>
  <si>
    <t xml:space="preserve">   At Best Sell or Buy Option - Describe</t>
  </si>
  <si>
    <t xml:space="preserve">     Date Started</t>
  </si>
  <si>
    <t xml:space="preserve">     No. of Cattle Retained or Purchased</t>
  </si>
  <si>
    <t>Direct Sale Comparison</t>
  </si>
  <si>
    <t xml:space="preserve">     Culled Heifers</t>
  </si>
  <si>
    <t xml:space="preserve">     Value of Culls</t>
  </si>
  <si>
    <t xml:space="preserve">     Death Loss</t>
  </si>
  <si>
    <t xml:space="preserve">   Head</t>
  </si>
  <si>
    <t>Number of Head</t>
  </si>
  <si>
    <t>Heifers Culled Before Breeding</t>
  </si>
  <si>
    <t xml:space="preserve">   Number of Head</t>
  </si>
  <si>
    <t xml:space="preserve">   Weight</t>
  </si>
  <si>
    <t xml:space="preserve">   Net Value</t>
  </si>
  <si>
    <t>Lbs/Head</t>
  </si>
  <si>
    <t>$/Cwt</t>
  </si>
  <si>
    <t xml:space="preserve">   Average Date Culled</t>
  </si>
  <si>
    <t>Beginning Breeding Season Date</t>
  </si>
  <si>
    <t>Heifers Exposed</t>
  </si>
  <si>
    <t xml:space="preserve">   Total Value</t>
  </si>
  <si>
    <t>Head Days</t>
  </si>
  <si>
    <t>Pregnancy Testing Date</t>
  </si>
  <si>
    <t>Heifers Culled After Pregnancy Testing</t>
  </si>
  <si>
    <t>Pregnant Heifers</t>
  </si>
  <si>
    <t>Pregnancy Percent Based on Exposed Heifers</t>
  </si>
  <si>
    <t>Calving Percent Based on Bred Heifers</t>
  </si>
  <si>
    <t>Weaned Replacement Heifers - Raised or Purchased</t>
  </si>
  <si>
    <t>Potential Sales of Bred Replacement Heifers</t>
  </si>
  <si>
    <t>Calving Replacement Heifers</t>
  </si>
  <si>
    <t>Raised Replacement Heifer Sold Bred</t>
  </si>
  <si>
    <t>Weaning To Breeding</t>
  </si>
  <si>
    <t>Culling Adjustment</t>
  </si>
  <si>
    <t>Net Days to Breeding</t>
  </si>
  <si>
    <t>Total Days</t>
  </si>
  <si>
    <t>Sales Date for Bred Replacement Heifers</t>
  </si>
  <si>
    <t>Breeding to Bred Heifer Sale</t>
  </si>
  <si>
    <t>Net to Bred Heifer Sales</t>
  </si>
  <si>
    <t>Average per Head In</t>
  </si>
  <si>
    <t xml:space="preserve">     Date Bred Heifers Marketed</t>
  </si>
  <si>
    <t>Bred Heifers</t>
  </si>
  <si>
    <t>Bred Heifer Head Days</t>
  </si>
  <si>
    <t xml:space="preserve"> Replacement Heifer Pair Sale Head Days</t>
  </si>
  <si>
    <t>Pregnant Test to Pair Sale</t>
  </si>
  <si>
    <t>Culled</t>
  </si>
  <si>
    <t>Sales Date for Pairs</t>
  </si>
  <si>
    <t>Net to Pair Sale</t>
  </si>
  <si>
    <t>Sales of Pairs</t>
  </si>
  <si>
    <t>Performance Measures</t>
  </si>
  <si>
    <t>Necessary Net Sales Price per Bred Replacement Heifer Out</t>
  </si>
  <si>
    <t>Sales Price Necessary For Bred Repl. Heifer per Head For</t>
  </si>
  <si>
    <t>Months</t>
  </si>
  <si>
    <t>Raised replacement heifer sold as a pair with calf</t>
  </si>
  <si>
    <t xml:space="preserve">     Date Pair Marketed</t>
  </si>
  <si>
    <t>Necessary Net Sales Price per Pair Heifer Out</t>
  </si>
  <si>
    <t>Sales Price Necessary Pair per Head For</t>
  </si>
  <si>
    <t xml:space="preserve">   Calving</t>
  </si>
  <si>
    <t>Bred Replacement Heifer Production Budget</t>
  </si>
  <si>
    <t>Replacement Pair Costs and Necessary Sales Price Sensitivity Analysis</t>
  </si>
  <si>
    <t>Replacement Heifer Pair Production Budget</t>
  </si>
  <si>
    <t>Date - Weaned or Production Started</t>
  </si>
  <si>
    <t>Percent Pregnant</t>
  </si>
  <si>
    <t>Pairs Available for Sale</t>
  </si>
  <si>
    <t>Weaned Heifer Calf</t>
  </si>
  <si>
    <t xml:space="preserve">     Days Held - Adjusted for Culling</t>
  </si>
  <si>
    <t xml:space="preserve">Lbs/Head </t>
  </si>
  <si>
    <t>Lbs/Day</t>
  </si>
  <si>
    <t>$/Hd</t>
  </si>
  <si>
    <t>%        Rate</t>
  </si>
  <si>
    <t>$/Hd Out</t>
  </si>
  <si>
    <t xml:space="preserve">     Weight at Sales</t>
  </si>
  <si>
    <t xml:space="preserve">   Cost Adjustment for Value of Culled Heifers</t>
  </si>
  <si>
    <t xml:space="preserve">   Cost Adjustment for Value of Culled Pairs</t>
  </si>
  <si>
    <t xml:space="preserve">     Days Held - Not Adjusted for Culling</t>
  </si>
  <si>
    <t>%         Rate</t>
  </si>
  <si>
    <t>$/Day</t>
  </si>
  <si>
    <t>Bred Replacement Heifer Costs and Necessary Sales Price Sensitivity Analysis</t>
  </si>
  <si>
    <t>Total Gain</t>
  </si>
  <si>
    <t>Beginning Weight</t>
  </si>
  <si>
    <t>Cull Sales</t>
  </si>
  <si>
    <t>Final  Sales Pairs</t>
  </si>
  <si>
    <t>Total Net Payweight Gain Pairs</t>
  </si>
  <si>
    <t xml:space="preserve">Final  Bred Heifer Sales </t>
  </si>
  <si>
    <t>$/Hd/Day</t>
  </si>
  <si>
    <t xml:space="preserve">      $/Day - Head In</t>
  </si>
  <si>
    <t>Non - Cattle - Head In</t>
  </si>
  <si>
    <t>Started</t>
  </si>
  <si>
    <t>Calving Percent</t>
  </si>
  <si>
    <t>Head of Heifers</t>
  </si>
  <si>
    <t>Death Loss of Replacements Through Pairs</t>
  </si>
  <si>
    <t>Death Loss of Bred Repl. Heifers - % &amp; Hd.</t>
  </si>
  <si>
    <t xml:space="preserve">    Exposed</t>
  </si>
  <si>
    <t xml:space="preserve">Projected Price </t>
  </si>
  <si>
    <t>Total Net to Equity Including Target Return</t>
  </si>
  <si>
    <t xml:space="preserve">  Head</t>
  </si>
  <si>
    <t xml:space="preserve">    Financial </t>
  </si>
  <si>
    <t xml:space="preserve">   Economic</t>
  </si>
  <si>
    <t>Cost and Net Income - Pair Sales</t>
  </si>
  <si>
    <t>-------------------------------------------------------------------------------------------------------------------------------------------------------</t>
  </si>
  <si>
    <t>Head - %</t>
  </si>
  <si>
    <t xml:space="preserve">Head </t>
  </si>
  <si>
    <t>Death Loss of Replacements - Starting Through Pairs</t>
  </si>
  <si>
    <t>Check on numbers</t>
  </si>
  <si>
    <t>Rate or Return or Interest Rate</t>
  </si>
  <si>
    <t xml:space="preserve">Projected Net Price </t>
  </si>
  <si>
    <t>------------------------------------------------------------------------------------------------------------------------------------------------------</t>
  </si>
  <si>
    <t>Total Production Adjusted Cost Per Head*</t>
  </si>
  <si>
    <t>Purchase Costs - Per Head Charges</t>
  </si>
  <si>
    <t xml:space="preserve">% </t>
  </si>
  <si>
    <t>Other Costs if Sold  - Commissions</t>
  </si>
  <si>
    <t xml:space="preserve">     Other Costs if Sold - Commissions</t>
  </si>
  <si>
    <t xml:space="preserve">     Heifer Cost or Sales Value</t>
  </si>
  <si>
    <t xml:space="preserve">     Heifer Cost</t>
  </si>
  <si>
    <t>Heifer Cost or Sales Value</t>
  </si>
  <si>
    <t>Culls Marketed - Starting Through Pairs</t>
  </si>
  <si>
    <t>Months First Calf Pairs Sold are Held</t>
  </si>
  <si>
    <t>Months Bred Heifers Sold are Held</t>
  </si>
  <si>
    <t>Date Printed:</t>
  </si>
  <si>
    <t xml:space="preserve">Ranch: </t>
  </si>
  <si>
    <t>Date - Weaned or Purchased Heifers Started</t>
  </si>
  <si>
    <t>Total Net Income Over Target Return</t>
  </si>
  <si>
    <t>Net Income Over Target Return</t>
  </si>
  <si>
    <t>Exposed</t>
  </si>
  <si>
    <t>Heifer Raised</t>
  </si>
  <si>
    <t>Non-Cattle Cost Per Day Including Target Return</t>
  </si>
  <si>
    <t>Economic</t>
  </si>
  <si>
    <t>Target</t>
  </si>
  <si>
    <t>Actual</t>
  </si>
  <si>
    <t>Total Heifer Calf Cost ($/Head)*---------------&gt;</t>
  </si>
  <si>
    <t xml:space="preserve">$/Unit  </t>
  </si>
  <si>
    <t>Replacement Heifers - Bred or First-Calf Pairs Description</t>
  </si>
  <si>
    <t>First-Calf Pairs Available for Sale</t>
  </si>
  <si>
    <t>Sales Date for First-Calf Pairs</t>
  </si>
  <si>
    <t>Replacement Heifers</t>
  </si>
  <si>
    <t>Culls Marketed - Starting Through First-Calf Pairs Sales</t>
  </si>
  <si>
    <t>Cost and Net Income - Bred Heifer Sales</t>
  </si>
  <si>
    <t>Rate of Return or Interest Rate</t>
  </si>
  <si>
    <t>Replacement Heifer and First-Calf Pair Production and Pricing Summary</t>
  </si>
  <si>
    <t>Replacement Heifer and First-Calf Pair Production Description</t>
  </si>
  <si>
    <t>Death Loss Starting to Breeding Season- % &amp; Hd.</t>
  </si>
  <si>
    <t>Heifers Losing Pregnancy or Calf Loss Based</t>
  </si>
  <si>
    <t xml:space="preserve">   on Bred Replacements - % &amp; Head</t>
  </si>
  <si>
    <t>Total Production Adjusted Cost Per Head including Target Margin</t>
  </si>
  <si>
    <t xml:space="preserve">   Pregnancy. Test</t>
  </si>
  <si>
    <t xml:space="preserve">   Pregnancy Check</t>
  </si>
  <si>
    <t xml:space="preserve">Version 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</si>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</sst>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dd\-mmm\-yy_)"/>
    <numFmt numFmtId="166" formatCode="0_)"/>
    <numFmt numFmtId="167" formatCode="0.0"/>
    <numFmt numFmtId="168" formatCode="&quot;$&quot;#,##0.00"/>
    <numFmt numFmtId="169" formatCode="0.0_)"/>
    <numFmt numFmtId="170" formatCode="&quot;$&quot;#,##0"/>
    <numFmt numFmtId="171" formatCode="[$$-409]#,##0.00_);[Red]\([$$-409]#,##0.00\)"/>
    <numFmt numFmtId="172" formatCode="[$$-409]#,##0.00"/>
    <numFmt numFmtId="173" formatCode="0.000"/>
    <numFmt numFmtId="174" formatCode="_(* #,##0_);_(* \(#,##0\);_(* &quot;-&quot;??_);_(@_)"/>
    <numFmt numFmtId="175" formatCode="&quot;$&quot;#,##0.0_);\(&quot;$&quot;#,##0.0\)"/>
    <numFmt numFmtId="176" formatCode="[$$-409]#,##0"/>
    <numFmt numFmtId="177" formatCode="0.0_);\(0.0\)"/>
    <numFmt numFmtId="178" formatCode="0_);\(0\)"/>
    <numFmt numFmtId="179" formatCode="0.00_);\(0.00\)"/>
    <numFmt numFmtId="180" formatCode="0.000_)"/>
    <numFmt numFmtId="181" formatCode="[$$-409]#,##0_);[Red]\([$$-409]#,##0\)"/>
    <numFmt numFmtId="182" formatCode="0_);[Red]\(0\)"/>
    <numFmt numFmtId="183" formatCode="0.0%"/>
  </numFmts>
  <fonts count="22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</font>
    <font>
      <sz val="12"/>
      <color indexed="12"/>
      <name val="Courier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Courier"/>
    </font>
    <font>
      <sz val="10"/>
      <name val="Arial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39"/>
      <name val="Arial"/>
      <family val="2"/>
    </font>
    <font>
      <sz val="11"/>
      <color rgb="FF006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3" fillId="0" borderId="0" xfId="0" quotePrefix="1" applyFont="1"/>
    <xf numFmtId="15" fontId="5" fillId="0" borderId="0" xfId="0" applyNumberFormat="1" applyFont="1" applyAlignment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66" fontId="7" fillId="0" borderId="0" xfId="0" applyNumberFormat="1" applyFont="1" applyProtection="1"/>
    <xf numFmtId="3" fontId="0" fillId="0" borderId="0" xfId="0" applyNumberFormat="1"/>
    <xf numFmtId="168" fontId="7" fillId="0" borderId="0" xfId="0" applyNumberFormat="1" applyFont="1"/>
    <xf numFmtId="0" fontId="2" fillId="0" borderId="0" xfId="0" applyFont="1" applyAlignment="1">
      <alignment horizontal="center"/>
    </xf>
    <xf numFmtId="5" fontId="2" fillId="0" borderId="0" xfId="0" applyNumberFormat="1" applyFont="1" applyProtection="1"/>
    <xf numFmtId="0" fontId="5" fillId="0" borderId="0" xfId="0" applyFont="1" applyAlignment="1">
      <alignment horizontal="fill"/>
    </xf>
    <xf numFmtId="0" fontId="5" fillId="0" borderId="0" xfId="0" applyFont="1"/>
    <xf numFmtId="0" fontId="5" fillId="0" borderId="0" xfId="0" applyFont="1" applyAlignment="1">
      <alignment horizontal="center"/>
    </xf>
    <xf numFmtId="166" fontId="4" fillId="2" borderId="3" xfId="0" applyNumberFormat="1" applyFont="1" applyFill="1" applyBorder="1" applyProtection="1">
      <protection locked="0"/>
    </xf>
    <xf numFmtId="7" fontId="2" fillId="0" borderId="0" xfId="0" applyNumberFormat="1" applyFont="1" applyProtection="1"/>
    <xf numFmtId="5" fontId="0" fillId="0" borderId="0" xfId="0" applyNumberFormat="1" applyProtection="1"/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NumberFormat="1" applyFont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 applyProtection="1"/>
    <xf numFmtId="7" fontId="7" fillId="0" borderId="0" xfId="0" applyNumberFormat="1" applyFont="1" applyProtection="1"/>
    <xf numFmtId="0" fontId="7" fillId="0" borderId="0" xfId="0" applyFont="1" applyAlignment="1">
      <alignment horizontal="center"/>
    </xf>
    <xf numFmtId="7" fontId="2" fillId="0" borderId="0" xfId="0" applyNumberFormat="1" applyFont="1" applyAlignment="1" applyProtection="1">
      <alignment horizontal="right"/>
    </xf>
    <xf numFmtId="166" fontId="2" fillId="0" borderId="0" xfId="0" applyNumberFormat="1" applyFont="1" applyProtection="1"/>
    <xf numFmtId="7" fontId="0" fillId="0" borderId="0" xfId="0" applyNumberFormat="1"/>
    <xf numFmtId="44" fontId="0" fillId="0" borderId="0" xfId="0" applyNumberFormat="1"/>
    <xf numFmtId="0" fontId="9" fillId="0" borderId="0" xfId="0" applyFont="1"/>
    <xf numFmtId="172" fontId="0" fillId="0" borderId="0" xfId="0" applyNumberFormat="1"/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6" fontId="4" fillId="0" borderId="3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7" fontId="4" fillId="0" borderId="3" xfId="0" applyNumberFormat="1" applyFont="1" applyBorder="1" applyProtection="1">
      <protection locked="0"/>
    </xf>
    <xf numFmtId="0" fontId="7" fillId="0" borderId="0" xfId="0" applyFont="1" applyAlignment="1">
      <alignment horizontal="fill"/>
    </xf>
    <xf numFmtId="37" fontId="7" fillId="0" borderId="0" xfId="0" applyNumberFormat="1" applyFont="1" applyProtection="1"/>
    <xf numFmtId="169" fontId="7" fillId="0" borderId="0" xfId="0" applyNumberFormat="1" applyFont="1"/>
    <xf numFmtId="2" fontId="7" fillId="0" borderId="0" xfId="0" applyNumberFormat="1" applyFont="1" applyProtection="1"/>
    <xf numFmtId="5" fontId="7" fillId="0" borderId="0" xfId="0" applyNumberFormat="1" applyFont="1" applyProtection="1"/>
    <xf numFmtId="0" fontId="7" fillId="0" borderId="0" xfId="0" quotePrefix="1" applyFont="1" applyAlignment="1">
      <alignment horizontal="center"/>
    </xf>
    <xf numFmtId="10" fontId="7" fillId="0" borderId="0" xfId="0" applyNumberFormat="1" applyFont="1" applyProtection="1"/>
    <xf numFmtId="173" fontId="0" fillId="0" borderId="0" xfId="0" applyNumberFormat="1"/>
    <xf numFmtId="44" fontId="0" fillId="0" borderId="0" xfId="2" applyFont="1"/>
    <xf numFmtId="44" fontId="0" fillId="0" borderId="0" xfId="2" applyFont="1" applyProtection="1"/>
    <xf numFmtId="169" fontId="2" fillId="0" borderId="0" xfId="0" applyNumberFormat="1" applyFont="1" applyProtection="1"/>
    <xf numFmtId="3" fontId="7" fillId="0" borderId="0" xfId="0" applyNumberFormat="1" applyFont="1" applyProtection="1"/>
    <xf numFmtId="7" fontId="7" fillId="0" borderId="0" xfId="0" applyNumberFormat="1" applyFont="1"/>
    <xf numFmtId="0" fontId="9" fillId="0" borderId="0" xfId="0" applyFont="1" applyAlignment="1">
      <alignment horizontal="fill"/>
    </xf>
    <xf numFmtId="165" fontId="7" fillId="2" borderId="0" xfId="0" applyNumberFormat="1" applyFont="1" applyFill="1" applyBorder="1" applyProtection="1"/>
    <xf numFmtId="164" fontId="2" fillId="0" borderId="0" xfId="0" applyNumberFormat="1" applyFont="1" applyProtection="1"/>
    <xf numFmtId="2" fontId="0" fillId="0" borderId="0" xfId="0" applyNumberFormat="1"/>
    <xf numFmtId="0" fontId="9" fillId="0" borderId="0" xfId="0" applyFont="1" applyAlignment="1">
      <alignment horizontal="center"/>
    </xf>
    <xf numFmtId="176" fontId="0" fillId="0" borderId="0" xfId="0" applyNumberFormat="1"/>
    <xf numFmtId="176" fontId="9" fillId="0" borderId="0" xfId="1" applyNumberFormat="1" applyFont="1" applyProtection="1"/>
    <xf numFmtId="176" fontId="9" fillId="0" borderId="0" xfId="0" applyNumberFormat="1" applyFont="1" applyProtection="1"/>
    <xf numFmtId="0" fontId="12" fillId="0" borderId="0" xfId="0" applyFont="1"/>
    <xf numFmtId="0" fontId="5" fillId="0" borderId="0" xfId="0" applyFont="1" applyAlignment="1">
      <alignment horizontal="left"/>
    </xf>
    <xf numFmtId="177" fontId="8" fillId="0" borderId="0" xfId="0" applyNumberFormat="1" applyFont="1" applyProtection="1">
      <protection locked="0"/>
    </xf>
    <xf numFmtId="7" fontId="2" fillId="0" borderId="0" xfId="0" applyNumberFormat="1" applyFont="1"/>
    <xf numFmtId="178" fontId="7" fillId="0" borderId="0" xfId="0" applyNumberFormat="1" applyFont="1"/>
    <xf numFmtId="7" fontId="7" fillId="0" borderId="0" xfId="0" applyNumberFormat="1" applyFont="1" applyBorder="1"/>
    <xf numFmtId="179" fontId="4" fillId="2" borderId="3" xfId="0" applyNumberFormat="1" applyFont="1" applyFill="1" applyBorder="1" applyProtection="1">
      <protection locked="0"/>
    </xf>
    <xf numFmtId="5" fontId="7" fillId="0" borderId="0" xfId="0" applyNumberFormat="1" applyFont="1"/>
    <xf numFmtId="7" fontId="8" fillId="0" borderId="0" xfId="0" applyNumberFormat="1" applyFont="1" applyProtection="1">
      <protection locked="0"/>
    </xf>
    <xf numFmtId="178" fontId="7" fillId="0" borderId="0" xfId="0" applyNumberFormat="1" applyFont="1" applyAlignment="1" applyProtection="1"/>
    <xf numFmtId="178" fontId="8" fillId="0" borderId="0" xfId="0" applyNumberFormat="1" applyFont="1" applyProtection="1">
      <protection locked="0"/>
    </xf>
    <xf numFmtId="178" fontId="5" fillId="0" borderId="0" xfId="0" applyNumberFormat="1" applyFont="1"/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7" fillId="0" borderId="0" xfId="0" applyNumberFormat="1" applyFont="1"/>
    <xf numFmtId="0" fontId="7" fillId="0" borderId="0" xfId="0" applyFont="1" applyAlignment="1">
      <alignment horizontal="left"/>
    </xf>
    <xf numFmtId="166" fontId="7" fillId="0" borderId="0" xfId="0" applyNumberFormat="1" applyFont="1" applyBorder="1" applyProtection="1"/>
    <xf numFmtId="166" fontId="7" fillId="0" borderId="0" xfId="0" applyNumberFormat="1" applyFont="1" applyBorder="1" applyProtection="1">
      <protection locked="0"/>
    </xf>
    <xf numFmtId="180" fontId="7" fillId="0" borderId="0" xfId="0" applyNumberFormat="1" applyFont="1" applyBorder="1" applyProtection="1"/>
    <xf numFmtId="180" fontId="7" fillId="0" borderId="0" xfId="0" applyNumberFormat="1" applyFont="1" applyProtection="1"/>
    <xf numFmtId="7" fontId="7" fillId="0" borderId="0" xfId="0" applyNumberFormat="1" applyFont="1" applyAlignment="1" applyProtection="1">
      <alignment horizontal="left"/>
    </xf>
    <xf numFmtId="0" fontId="7" fillId="0" borderId="0" xfId="0" applyFont="1" applyAlignment="1"/>
    <xf numFmtId="1" fontId="5" fillId="0" borderId="0" xfId="0" applyNumberFormat="1" applyFont="1"/>
    <xf numFmtId="1" fontId="0" fillId="0" borderId="0" xfId="0" applyNumberFormat="1"/>
    <xf numFmtId="0" fontId="0" fillId="0" borderId="0" xfId="0" applyAlignment="1">
      <alignment horizontal="fill"/>
    </xf>
    <xf numFmtId="14" fontId="3" fillId="0" borderId="0" xfId="0" applyNumberFormat="1" applyFont="1" applyAlignment="1">
      <alignment horizontal="left"/>
    </xf>
    <xf numFmtId="166" fontId="2" fillId="0" borderId="0" xfId="0" applyNumberFormat="1" applyFont="1"/>
    <xf numFmtId="7" fontId="0" fillId="0" borderId="0" xfId="2" applyNumberFormat="1" applyFont="1"/>
    <xf numFmtId="175" fontId="0" fillId="0" borderId="0" xfId="0" applyNumberFormat="1"/>
    <xf numFmtId="0" fontId="2" fillId="0" borderId="0" xfId="0" applyFont="1" applyAlignment="1">
      <alignment horizontal="left"/>
    </xf>
    <xf numFmtId="167" fontId="7" fillId="0" borderId="0" xfId="0" applyNumberFormat="1" applyFont="1"/>
    <xf numFmtId="5" fontId="2" fillId="0" borderId="0" xfId="0" applyNumberFormat="1" applyFont="1"/>
    <xf numFmtId="5" fontId="0" fillId="0" borderId="0" xfId="0" applyNumberFormat="1"/>
    <xf numFmtId="5" fontId="7" fillId="0" borderId="0" xfId="0" applyNumberFormat="1" applyFont="1" applyAlignment="1">
      <alignment horizontal="fill"/>
    </xf>
    <xf numFmtId="5" fontId="7" fillId="0" borderId="0" xfId="0" applyNumberFormat="1" applyFont="1" applyAlignment="1" applyProtection="1">
      <alignment horizontal="right"/>
    </xf>
    <xf numFmtId="5" fontId="2" fillId="0" borderId="0" xfId="0" applyNumberFormat="1" applyFont="1" applyAlignment="1" applyProtection="1">
      <alignment horizontal="right"/>
    </xf>
    <xf numFmtId="0" fontId="7" fillId="2" borderId="1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5" fillId="0" borderId="0" xfId="0" applyFont="1" applyProtection="1"/>
    <xf numFmtId="0" fontId="15" fillId="0" borderId="0" xfId="0" applyFont="1" applyProtection="1"/>
    <xf numFmtId="0" fontId="7" fillId="2" borderId="2" xfId="0" applyFont="1" applyFill="1" applyBorder="1" applyProtection="1"/>
    <xf numFmtId="0" fontId="7" fillId="2" borderId="7" xfId="0" applyFont="1" applyFill="1" applyBorder="1" applyProtection="1"/>
    <xf numFmtId="15" fontId="7" fillId="2" borderId="1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4" fontId="7" fillId="2" borderId="1" xfId="1" applyNumberFormat="1" applyFont="1" applyFill="1" applyBorder="1" applyProtection="1"/>
    <xf numFmtId="168" fontId="7" fillId="0" borderId="0" xfId="0" applyNumberFormat="1" applyFont="1" applyProtection="1"/>
    <xf numFmtId="0" fontId="5" fillId="0" borderId="0" xfId="0" applyFont="1" applyAlignment="1" applyProtection="1">
      <alignment horizontal="fill"/>
    </xf>
    <xf numFmtId="0" fontId="7" fillId="0" borderId="0" xfId="0" applyFont="1" applyAlignment="1" applyProtection="1">
      <alignment horizontal="fill"/>
    </xf>
    <xf numFmtId="166" fontId="7" fillId="2" borderId="3" xfId="0" applyNumberFormat="1" applyFont="1" applyFill="1" applyBorder="1" applyProtection="1"/>
    <xf numFmtId="167" fontId="7" fillId="0" borderId="0" xfId="0" applyNumberFormat="1" applyFont="1" applyProtection="1"/>
    <xf numFmtId="164" fontId="7" fillId="2" borderId="3" xfId="0" applyNumberFormat="1" applyFont="1" applyFill="1" applyBorder="1" applyProtection="1"/>
    <xf numFmtId="179" fontId="7" fillId="0" borderId="0" xfId="0" applyNumberFormat="1" applyFont="1" applyProtection="1"/>
    <xf numFmtId="178" fontId="7" fillId="0" borderId="0" xfId="0" applyNumberFormat="1" applyFont="1" applyProtection="1"/>
    <xf numFmtId="0" fontId="5" fillId="0" borderId="0" xfId="0" applyFont="1" applyAlignment="1" applyProtection="1">
      <alignment horizontal="left"/>
    </xf>
    <xf numFmtId="169" fontId="7" fillId="0" borderId="0" xfId="0" applyNumberFormat="1" applyFont="1" applyProtection="1"/>
    <xf numFmtId="7" fontId="7" fillId="0" borderId="0" xfId="0" applyNumberFormat="1" applyFont="1" applyBorder="1" applyProtection="1"/>
    <xf numFmtId="0" fontId="16" fillId="0" borderId="0" xfId="0" applyFont="1" applyProtection="1"/>
    <xf numFmtId="0" fontId="7" fillId="0" borderId="0" xfId="0" applyNumberFormat="1" applyFont="1" applyProtection="1"/>
    <xf numFmtId="0" fontId="5" fillId="0" borderId="0" xfId="0" applyNumberFormat="1" applyFont="1"/>
    <xf numFmtId="166" fontId="7" fillId="2" borderId="3" xfId="0" applyNumberFormat="1" applyFont="1" applyFill="1" applyBorder="1" applyAlignment="1" applyProtection="1">
      <protection locked="0"/>
    </xf>
    <xf numFmtId="9" fontId="7" fillId="0" borderId="0" xfId="3" applyFont="1" applyProtection="1"/>
    <xf numFmtId="6" fontId="7" fillId="0" borderId="0" xfId="0" applyNumberFormat="1" applyFont="1" applyProtection="1"/>
    <xf numFmtId="5" fontId="8" fillId="0" borderId="8" xfId="0" applyNumberFormat="1" applyFont="1" applyBorder="1" applyProtection="1">
      <protection locked="0"/>
    </xf>
    <xf numFmtId="181" fontId="7" fillId="0" borderId="0" xfId="0" applyNumberFormat="1" applyFont="1" applyAlignment="1" applyProtection="1">
      <alignment horizontal="center"/>
    </xf>
    <xf numFmtId="0" fontId="4" fillId="2" borderId="9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2" fontId="0" fillId="0" borderId="0" xfId="0" applyNumberFormat="1"/>
    <xf numFmtId="174" fontId="0" fillId="0" borderId="0" xfId="1" applyNumberFormat="1" applyFont="1"/>
    <xf numFmtId="1" fontId="12" fillId="0" borderId="0" xfId="0" applyNumberFormat="1" applyFont="1"/>
    <xf numFmtId="166" fontId="7" fillId="2" borderId="0" xfId="0" applyNumberFormat="1" applyFont="1" applyFill="1" applyBorder="1" applyProtection="1">
      <protection locked="0"/>
    </xf>
    <xf numFmtId="174" fontId="0" fillId="0" borderId="0" xfId="0" applyNumberFormat="1"/>
    <xf numFmtId="1" fontId="18" fillId="0" borderId="0" xfId="0" applyNumberFormat="1" applyFont="1"/>
    <xf numFmtId="182" fontId="18" fillId="0" borderId="0" xfId="0" applyNumberFormat="1" applyFont="1"/>
    <xf numFmtId="174" fontId="18" fillId="0" borderId="0" xfId="1" applyNumberFormat="1" applyFont="1"/>
    <xf numFmtId="0" fontId="18" fillId="0" borderId="0" xfId="0" applyFont="1"/>
    <xf numFmtId="174" fontId="12" fillId="0" borderId="0" xfId="1" applyNumberFormat="1" applyFont="1"/>
    <xf numFmtId="15" fontId="7" fillId="2" borderId="0" xfId="0" applyNumberFormat="1" applyFont="1" applyFill="1" applyBorder="1" applyProtection="1"/>
    <xf numFmtId="1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74" fontId="12" fillId="0" borderId="0" xfId="0" applyNumberFormat="1" applyFont="1"/>
    <xf numFmtId="15" fontId="9" fillId="0" borderId="0" xfId="0" applyNumberFormat="1" applyFont="1" applyAlignment="1" applyProtection="1"/>
    <xf numFmtId="0" fontId="17" fillId="0" borderId="1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5" fontId="2" fillId="0" borderId="0" xfId="0" applyNumberFormat="1" applyFont="1" applyAlignment="1" applyProtection="1">
      <alignment horizontal="center"/>
    </xf>
    <xf numFmtId="5" fontId="7" fillId="0" borderId="0" xfId="0" applyNumberFormat="1" applyFont="1" applyAlignment="1" applyProtection="1">
      <alignment horizontal="center"/>
    </xf>
    <xf numFmtId="0" fontId="8" fillId="0" borderId="8" xfId="0" applyFont="1" applyBorder="1" applyProtection="1">
      <protection locked="0"/>
    </xf>
    <xf numFmtId="1" fontId="7" fillId="0" borderId="0" xfId="0" applyNumberFormat="1" applyFont="1"/>
    <xf numFmtId="182" fontId="2" fillId="0" borderId="0" xfId="0" applyNumberFormat="1" applyFont="1" applyBorder="1"/>
    <xf numFmtId="182" fontId="7" fillId="0" borderId="0" xfId="0" applyNumberFormat="1" applyFont="1"/>
    <xf numFmtId="182" fontId="2" fillId="0" borderId="0" xfId="0" applyNumberFormat="1" applyFont="1"/>
    <xf numFmtId="15" fontId="8" fillId="0" borderId="0" xfId="0" applyNumberFormat="1" applyFont="1" applyBorder="1"/>
    <xf numFmtId="1" fontId="2" fillId="0" borderId="0" xfId="0" applyNumberFormat="1" applyFont="1"/>
    <xf numFmtId="183" fontId="7" fillId="0" borderId="0" xfId="3" applyNumberFormat="1" applyFont="1"/>
    <xf numFmtId="165" fontId="7" fillId="2" borderId="0" xfId="0" applyNumberFormat="1" applyFont="1" applyFill="1" applyBorder="1" applyProtection="1">
      <protection locked="0"/>
    </xf>
    <xf numFmtId="174" fontId="9" fillId="0" borderId="0" xfId="1" applyNumberFormat="1" applyFont="1"/>
    <xf numFmtId="0" fontId="7" fillId="0" borderId="0" xfId="0" applyFont="1" applyAlignment="1" applyProtection="1">
      <alignment horizontal="center" vertical="center"/>
      <protection locked="0"/>
    </xf>
    <xf numFmtId="8" fontId="7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15" fontId="7" fillId="0" borderId="0" xfId="0" applyNumberFormat="1" applyFont="1" applyBorder="1"/>
    <xf numFmtId="1" fontId="7" fillId="0" borderId="0" xfId="0" applyNumberFormat="1" applyFont="1" applyBorder="1"/>
    <xf numFmtId="0" fontId="7" fillId="0" borderId="0" xfId="0" quotePrefix="1" applyFont="1"/>
    <xf numFmtId="167" fontId="7" fillId="0" borderId="0" xfId="0" applyNumberFormat="1" applyFont="1" applyAlignment="1">
      <alignment horizontal="center"/>
    </xf>
    <xf numFmtId="7" fontId="7" fillId="0" borderId="0" xfId="0" applyNumberFormat="1" applyFont="1" applyProtection="1">
      <protection locked="0"/>
    </xf>
    <xf numFmtId="9" fontId="7" fillId="0" borderId="0" xfId="3" applyNumberFormat="1" applyFont="1"/>
    <xf numFmtId="5" fontId="7" fillId="0" borderId="0" xfId="0" applyNumberFormat="1" applyFont="1" applyAlignment="1">
      <alignment horizontal="center"/>
    </xf>
    <xf numFmtId="7" fontId="7" fillId="0" borderId="0" xfId="0" applyNumberFormat="1" applyFont="1" applyBorder="1" applyProtection="1">
      <protection locked="0"/>
    </xf>
    <xf numFmtId="177" fontId="7" fillId="0" borderId="0" xfId="0" applyNumberFormat="1" applyFont="1" applyProtection="1">
      <protection locked="0"/>
    </xf>
    <xf numFmtId="177" fontId="7" fillId="0" borderId="0" xfId="0" applyNumberFormat="1" applyFont="1" applyBorder="1" applyProtection="1">
      <protection locked="0"/>
    </xf>
    <xf numFmtId="0" fontId="7" fillId="0" borderId="0" xfId="0" applyFont="1" applyBorder="1"/>
    <xf numFmtId="1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168" fontId="4" fillId="0" borderId="11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167" fontId="8" fillId="0" borderId="0" xfId="0" applyNumberFormat="1" applyFont="1" applyProtection="1">
      <protection locked="0"/>
    </xf>
    <xf numFmtId="168" fontId="4" fillId="0" borderId="3" xfId="0" applyNumberFormat="1" applyFont="1" applyBorder="1" applyProtection="1">
      <protection locked="0"/>
    </xf>
    <xf numFmtId="168" fontId="8" fillId="0" borderId="8" xfId="0" applyNumberFormat="1" applyFont="1" applyBorder="1" applyProtection="1">
      <protection locked="0"/>
    </xf>
    <xf numFmtId="170" fontId="7" fillId="0" borderId="0" xfId="0" applyNumberFormat="1" applyFont="1"/>
    <xf numFmtId="183" fontId="7" fillId="0" borderId="0" xfId="3" applyNumberFormat="1" applyFont="1" applyAlignment="1">
      <alignment horizontal="center"/>
    </xf>
    <xf numFmtId="166" fontId="2" fillId="0" borderId="0" xfId="0" applyNumberFormat="1" applyFont="1" applyAlignment="1" applyProtection="1">
      <alignment horizontal="center"/>
    </xf>
    <xf numFmtId="7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9" fontId="2" fillId="0" borderId="0" xfId="0" applyNumberFormat="1" applyFont="1" applyAlignment="1" applyProtection="1">
      <alignment horizontal="center"/>
    </xf>
    <xf numFmtId="7" fontId="7" fillId="0" borderId="0" xfId="0" applyNumberFormat="1" applyFont="1" applyAlignment="1">
      <alignment horizontal="center"/>
    </xf>
    <xf numFmtId="171" fontId="7" fillId="0" borderId="0" xfId="0" applyNumberFormat="1" applyFont="1" applyAlignment="1" applyProtection="1">
      <alignment horizontal="center"/>
    </xf>
    <xf numFmtId="5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9" fontId="0" fillId="0" borderId="0" xfId="3" applyFont="1"/>
    <xf numFmtId="167" fontId="8" fillId="0" borderId="8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15" fontId="8" fillId="0" borderId="8" xfId="0" applyNumberFormat="1" applyFont="1" applyBorder="1" applyProtection="1">
      <protection locked="0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2" fillId="0" borderId="10" xfId="0" applyFont="1" applyBorder="1" applyProtection="1"/>
    <xf numFmtId="0" fontId="8" fillId="2" borderId="12" xfId="0" applyFont="1" applyFill="1" applyBorder="1" applyProtection="1">
      <protection locked="0"/>
    </xf>
    <xf numFmtId="0" fontId="20" fillId="0" borderId="1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3" fontId="8" fillId="0" borderId="8" xfId="1" applyNumberFormat="1" applyFont="1" applyBorder="1" applyProtection="1">
      <protection locked="0"/>
    </xf>
    <xf numFmtId="0" fontId="21" fillId="0" borderId="0" xfId="0" applyFont="1"/>
    <xf numFmtId="14" fontId="0" fillId="0" borderId="0" xfId="0" applyNumberFormat="1"/>
    <xf numFmtId="2" fontId="7" fillId="0" borderId="0" xfId="0" applyNumberFormat="1" applyFont="1" applyBorder="1" applyProtection="1"/>
    <xf numFmtId="6" fontId="2" fillId="0" borderId="0" xfId="0" applyNumberFormat="1" applyFont="1" applyAlignment="1" applyProtection="1">
      <alignment horizontal="center"/>
    </xf>
    <xf numFmtId="181" fontId="2" fillId="0" borderId="0" xfId="0" applyNumberFormat="1" applyFont="1" applyProtection="1"/>
    <xf numFmtId="181" fontId="7" fillId="0" borderId="0" xfId="0" applyNumberFormat="1" applyFont="1"/>
    <xf numFmtId="181" fontId="2" fillId="0" borderId="0" xfId="0" applyNumberFormat="1" applyFont="1" applyAlignment="1" applyProtection="1">
      <alignment horizontal="center"/>
    </xf>
    <xf numFmtId="181" fontId="7" fillId="0" borderId="0" xfId="0" applyNumberFormat="1" applyFont="1" applyAlignment="1">
      <alignment horizontal="center"/>
    </xf>
    <xf numFmtId="6" fontId="7" fillId="0" borderId="0" xfId="0" applyNumberFormat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2" fillId="0" borderId="0" xfId="0" applyNumberFormat="1" applyFont="1" applyAlignment="1" applyProtection="1">
      <alignment horizontal="center"/>
    </xf>
    <xf numFmtId="0" fontId="7" fillId="0" borderId="0" xfId="0" applyFont="1" applyAlignment="1">
      <alignment horizontal="center"/>
    </xf>
    <xf numFmtId="5" fontId="7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attachedToolbars" Target="attachedToolbars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206829</xdr:colOff>
      <xdr:row>1</xdr:row>
      <xdr:rowOff>0</xdr:rowOff>
    </xdr:from>
    <xdr:to>
      <xdr:col>10</xdr:col>
      <xdr:colOff>137159</xdr:colOff>
      <xdr:row>1</xdr:row>
      <xdr:rowOff>395152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AC420A-A19E-4B76-A412-5BCFCF4BF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843" y="223157"/>
          <a:ext cx="1394459" cy="395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604158</xdr:colOff>
      <xdr:row>0</xdr:row>
      <xdr:rowOff>127362</xdr:rowOff>
    </xdr:from>
    <xdr:to>
      <xdr:col>10</xdr:col>
      <xdr:colOff>315686</xdr:colOff>
      <xdr:row>3</xdr:row>
      <xdr:rowOff>10942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4472" y="127362"/>
          <a:ext cx="1017814" cy="493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1:S58"/>
  <sheetViews>
    <sheetView topLeftCell="A43" zoomScaleNormal="100" workbookViewId="0">
      <selection activeCell="G63" sqref="G63"/>
    </sheetView>
  </sheetViews>
  <sheetFormatPr defaultRowHeight="12.45"/>
  <cols>
    <col min="1" max="1" width="5.23046875" customWidth="1"/>
    <col min="2" max="2" width="34" customWidth="1"/>
    <col min="3" max="3" width="11.23046875" customWidth="1"/>
    <col min="7" max="7" width="14.23046875" customWidth="1"/>
    <col min="10" max="10" width="11.4609375" customWidth="1"/>
    <col min="12" max="12" width="10.23046875" bestFit="1" customWidth="1"/>
    <col min="17" max="17" width="10.23046875" bestFit="1" customWidth="1"/>
  </cols>
  <sheetData>
    <row r="1" spans="2:11" ht="17.600000000000001">
      <c r="B1" s="218" t="s">
        <v>253</v>
      </c>
      <c r="C1" s="218"/>
      <c r="D1" s="218"/>
      <c r="E1" s="218"/>
      <c r="F1" s="218"/>
      <c r="G1" s="218"/>
    </row>
    <row r="2" spans="2:11" ht="33" customHeight="1"/>
    <row r="3" spans="2:11" ht="15.45">
      <c r="B3" s="196" t="s">
        <v>233</v>
      </c>
      <c r="C3" s="206" t="s">
        <v>261</v>
      </c>
      <c r="D3" s="149"/>
      <c r="E3" s="149"/>
      <c r="G3" s="207" t="s">
        <v>232</v>
      </c>
      <c r="J3" s="209" t="s">
        <v>260</v>
      </c>
      <c r="K3" s="210">
        <v>43291</v>
      </c>
    </row>
    <row r="4" spans="2:11">
      <c r="C4" s="133"/>
      <c r="D4" s="150"/>
      <c r="F4" s="151"/>
      <c r="G4" s="179">
        <f ca="1">NOW()</f>
        <v>43384.181040625001</v>
      </c>
    </row>
    <row r="5" spans="2:11">
      <c r="E5" s="28"/>
      <c r="F5" s="28"/>
      <c r="G5" s="148"/>
    </row>
    <row r="6" spans="2:11" ht="15.45">
      <c r="B6" s="1" t="s">
        <v>142</v>
      </c>
      <c r="C6" s="17"/>
      <c r="D6" s="17"/>
      <c r="E6" s="17"/>
      <c r="F6" s="17"/>
      <c r="G6" s="17"/>
      <c r="H6" s="17"/>
    </row>
    <row r="7" spans="2:11" ht="15">
      <c r="B7" s="17" t="s">
        <v>175</v>
      </c>
      <c r="C7" s="17"/>
      <c r="D7" s="17"/>
      <c r="E7" s="17"/>
      <c r="F7" s="17"/>
      <c r="G7" s="201">
        <v>43388</v>
      </c>
      <c r="H7" s="17"/>
    </row>
    <row r="8" spans="2:11" ht="15">
      <c r="B8" s="17" t="s">
        <v>125</v>
      </c>
      <c r="C8" s="17"/>
      <c r="D8" s="17"/>
      <c r="E8" s="23"/>
      <c r="F8" s="17"/>
      <c r="G8" s="154">
        <v>100</v>
      </c>
      <c r="H8" s="17"/>
    </row>
    <row r="9" spans="2:11" ht="15">
      <c r="B9" s="17" t="s">
        <v>193</v>
      </c>
      <c r="C9" s="23"/>
      <c r="D9" s="23"/>
      <c r="E9" s="23" t="s">
        <v>180</v>
      </c>
      <c r="F9" s="17"/>
      <c r="G9" s="183">
        <v>500</v>
      </c>
      <c r="H9" s="17"/>
    </row>
    <row r="10" spans="2:11" ht="15">
      <c r="B10" s="12" t="s">
        <v>228</v>
      </c>
      <c r="D10" s="13"/>
      <c r="E10" s="13" t="s">
        <v>131</v>
      </c>
      <c r="G10" s="182">
        <v>170</v>
      </c>
      <c r="H10" s="17"/>
    </row>
    <row r="11" spans="2:11" ht="15">
      <c r="B11" s="12" t="s">
        <v>224</v>
      </c>
      <c r="D11" s="13"/>
      <c r="E11" s="13" t="s">
        <v>223</v>
      </c>
      <c r="F11" s="59"/>
      <c r="G11" s="184">
        <v>0</v>
      </c>
    </row>
    <row r="12" spans="2:11" ht="15">
      <c r="B12" s="12" t="s">
        <v>222</v>
      </c>
      <c r="D12" s="13"/>
      <c r="E12" s="13" t="s">
        <v>6</v>
      </c>
      <c r="F12" s="17"/>
      <c r="G12" s="185">
        <v>0</v>
      </c>
    </row>
    <row r="13" spans="2:11" ht="15">
      <c r="B13" s="17" t="s">
        <v>254</v>
      </c>
      <c r="C13" s="17"/>
      <c r="D13" s="17"/>
      <c r="E13" s="199">
        <v>0.5</v>
      </c>
      <c r="F13" s="17" t="s">
        <v>3</v>
      </c>
      <c r="G13" s="200">
        <f>E13*0.01*G8</f>
        <v>0.5</v>
      </c>
      <c r="H13" s="17"/>
    </row>
    <row r="14" spans="2:11" ht="15.45">
      <c r="B14" s="1" t="s">
        <v>126</v>
      </c>
      <c r="C14" s="17"/>
      <c r="D14" s="17"/>
      <c r="E14" s="23"/>
      <c r="F14" s="17"/>
      <c r="G14" s="17"/>
      <c r="H14" s="17"/>
    </row>
    <row r="15" spans="2:11" ht="15">
      <c r="B15" s="17" t="s">
        <v>132</v>
      </c>
      <c r="C15" s="17"/>
      <c r="D15" s="17"/>
      <c r="E15" s="23"/>
      <c r="F15" s="17"/>
      <c r="G15" s="201">
        <v>43539</v>
      </c>
      <c r="H15" s="17"/>
    </row>
    <row r="16" spans="2:11" ht="15">
      <c r="B16" s="17" t="s">
        <v>127</v>
      </c>
      <c r="C16" s="17"/>
      <c r="D16" s="17"/>
      <c r="E16" s="23" t="s">
        <v>2</v>
      </c>
      <c r="F16" s="17"/>
      <c r="G16" s="154">
        <v>5</v>
      </c>
      <c r="H16" s="17"/>
      <c r="J16" s="57" t="s">
        <v>156</v>
      </c>
    </row>
    <row r="17" spans="2:18" ht="15">
      <c r="B17" s="17" t="s">
        <v>128</v>
      </c>
      <c r="C17" s="17"/>
      <c r="D17" s="17"/>
      <c r="E17" s="23" t="s">
        <v>130</v>
      </c>
      <c r="F17" s="17"/>
      <c r="G17" s="154">
        <v>700</v>
      </c>
      <c r="H17" s="17"/>
      <c r="J17" t="s">
        <v>136</v>
      </c>
      <c r="K17" t="s">
        <v>124</v>
      </c>
      <c r="L17" t="s">
        <v>149</v>
      </c>
    </row>
    <row r="18" spans="2:18" ht="15">
      <c r="B18" s="17" t="s">
        <v>129</v>
      </c>
      <c r="C18" s="17"/>
      <c r="D18" s="17"/>
      <c r="E18" s="23" t="s">
        <v>131</v>
      </c>
      <c r="F18" s="17"/>
      <c r="G18" s="186">
        <v>165</v>
      </c>
      <c r="H18" s="17"/>
    </row>
    <row r="19" spans="2:18" ht="15">
      <c r="B19" s="17" t="s">
        <v>135</v>
      </c>
      <c r="C19" s="17"/>
      <c r="D19" s="17"/>
      <c r="E19" s="23" t="s">
        <v>46</v>
      </c>
      <c r="F19" s="17"/>
      <c r="G19" s="187">
        <f>G18*G17*G16*0.01</f>
        <v>5775</v>
      </c>
      <c r="H19" s="17"/>
      <c r="J19" s="134">
        <f>G15-G7</f>
        <v>151</v>
      </c>
      <c r="K19">
        <f>G8</f>
        <v>100</v>
      </c>
      <c r="L19" s="135">
        <f>J19*K19</f>
        <v>15100</v>
      </c>
      <c r="M19" t="s">
        <v>146</v>
      </c>
      <c r="P19" t="s">
        <v>192</v>
      </c>
      <c r="Q19">
        <f>(G17-G9)*G16</f>
        <v>1000</v>
      </c>
      <c r="R19" t="s">
        <v>194</v>
      </c>
    </row>
    <row r="20" spans="2:18" ht="15">
      <c r="B20" s="17" t="s">
        <v>133</v>
      </c>
      <c r="C20" s="17"/>
      <c r="D20" s="17"/>
      <c r="E20" s="23"/>
      <c r="F20" s="17"/>
      <c r="G20" s="201">
        <v>43556</v>
      </c>
      <c r="H20" s="17"/>
      <c r="J20" s="139">
        <f>G20-G15</f>
        <v>17</v>
      </c>
      <c r="K20" s="142">
        <f>G16</f>
        <v>5</v>
      </c>
      <c r="L20" s="141">
        <f>J20*K20</f>
        <v>85</v>
      </c>
      <c r="M20" t="s">
        <v>147</v>
      </c>
    </row>
    <row r="21" spans="2:18" ht="15">
      <c r="B21" s="17"/>
      <c r="C21" s="17"/>
      <c r="D21" s="17"/>
      <c r="E21" s="23"/>
      <c r="F21" s="17"/>
      <c r="G21" s="17"/>
      <c r="H21" s="17"/>
      <c r="J21" s="136">
        <f>J19-J20</f>
        <v>134</v>
      </c>
      <c r="K21" s="136">
        <f>K19-K20</f>
        <v>95</v>
      </c>
      <c r="L21" s="143">
        <f>L19-L20</f>
        <v>15015</v>
      </c>
      <c r="M21" t="s">
        <v>148</v>
      </c>
    </row>
    <row r="22" spans="2:18" ht="15.45">
      <c r="B22" s="1" t="s">
        <v>134</v>
      </c>
      <c r="C22" s="1"/>
      <c r="D22" s="1"/>
      <c r="E22" s="9" t="s">
        <v>2</v>
      </c>
      <c r="F22" s="17"/>
      <c r="G22" s="1">
        <f>(G8-(G13*0.01*G8)-G16)</f>
        <v>94.5</v>
      </c>
      <c r="H22" s="17"/>
      <c r="J22" s="84">
        <f>G35-G20</f>
        <v>551</v>
      </c>
      <c r="K22">
        <f>G22</f>
        <v>94.5</v>
      </c>
      <c r="L22" s="135">
        <f>J22*K22</f>
        <v>52069.5</v>
      </c>
      <c r="M22" t="s">
        <v>151</v>
      </c>
    </row>
    <row r="23" spans="2:18" ht="15">
      <c r="B23" s="17" t="s">
        <v>137</v>
      </c>
      <c r="C23" s="17"/>
      <c r="D23" s="17"/>
      <c r="E23" s="23"/>
      <c r="F23" s="17"/>
      <c r="G23" s="201">
        <v>43678</v>
      </c>
      <c r="H23" s="17"/>
      <c r="J23" s="139">
        <f>G28-G23</f>
        <v>63</v>
      </c>
      <c r="K23" s="140">
        <f>G29</f>
        <v>9.4500000000000028</v>
      </c>
      <c r="L23" s="141">
        <f>J23*K23</f>
        <v>595.35000000000014</v>
      </c>
      <c r="M23" t="s">
        <v>147</v>
      </c>
    </row>
    <row r="24" spans="2:18" ht="15">
      <c r="B24" s="17" t="s">
        <v>176</v>
      </c>
      <c r="C24" s="17"/>
      <c r="D24" s="17"/>
      <c r="E24" s="23" t="s">
        <v>3</v>
      </c>
      <c r="F24" s="17"/>
      <c r="G24" s="154">
        <v>90</v>
      </c>
      <c r="H24" s="17"/>
      <c r="J24" s="138">
        <f>J22-J23</f>
        <v>488</v>
      </c>
      <c r="K24" s="138">
        <f>K22-K23</f>
        <v>85.05</v>
      </c>
      <c r="L24" s="138">
        <f>L22-L23</f>
        <v>51474.15</v>
      </c>
      <c r="M24" t="s">
        <v>152</v>
      </c>
    </row>
    <row r="25" spans="2:18" ht="15">
      <c r="B25" s="17"/>
      <c r="C25" s="17"/>
      <c r="D25" s="17"/>
      <c r="E25" s="17"/>
      <c r="F25" s="17"/>
      <c r="G25" s="17"/>
      <c r="H25" s="17"/>
    </row>
    <row r="26" spans="2:18" ht="15.45">
      <c r="B26" s="1" t="s">
        <v>139</v>
      </c>
      <c r="C26" s="1"/>
      <c r="D26" s="1"/>
      <c r="E26" s="9" t="s">
        <v>2</v>
      </c>
      <c r="F26" s="1"/>
      <c r="G26" s="156">
        <f>G22*G24*0.01</f>
        <v>85.05</v>
      </c>
      <c r="H26" s="17"/>
      <c r="J26" t="s">
        <v>149</v>
      </c>
      <c r="L26" s="138">
        <f>L21+L24</f>
        <v>66489.149999999994</v>
      </c>
    </row>
    <row r="27" spans="2:18" ht="15">
      <c r="B27" s="17" t="s">
        <v>138</v>
      </c>
      <c r="C27" s="17"/>
      <c r="D27" s="17"/>
      <c r="E27" s="23"/>
      <c r="F27" s="17"/>
      <c r="G27" s="17"/>
      <c r="H27" s="17"/>
      <c r="J27" t="s">
        <v>153</v>
      </c>
      <c r="L27" s="136">
        <f>L26/G8</f>
        <v>664.89149999999995</v>
      </c>
      <c r="M27" s="57" t="s">
        <v>155</v>
      </c>
    </row>
    <row r="28" spans="2:18" ht="15">
      <c r="B28" s="17" t="s">
        <v>132</v>
      </c>
      <c r="C28" s="17"/>
      <c r="D28" s="17"/>
      <c r="E28" s="23"/>
      <c r="F28" s="17"/>
      <c r="G28" s="201">
        <v>43741</v>
      </c>
      <c r="H28" s="17"/>
    </row>
    <row r="29" spans="2:18" ht="15">
      <c r="B29" s="17" t="s">
        <v>127</v>
      </c>
      <c r="C29" s="17"/>
      <c r="D29" s="17"/>
      <c r="E29" s="23" t="s">
        <v>2</v>
      </c>
      <c r="F29" s="17"/>
      <c r="G29" s="157">
        <f>G22-G26</f>
        <v>9.4500000000000028</v>
      </c>
      <c r="H29" s="17"/>
      <c r="J29" s="57" t="s">
        <v>157</v>
      </c>
      <c r="P29" t="s">
        <v>192</v>
      </c>
      <c r="Q29" s="135">
        <f>(G30-G9)*G29</f>
        <v>3780.0000000000009</v>
      </c>
      <c r="R29" t="s">
        <v>194</v>
      </c>
    </row>
    <row r="30" spans="2:18" ht="15">
      <c r="B30" s="17" t="s">
        <v>128</v>
      </c>
      <c r="C30" s="17"/>
      <c r="D30" s="17"/>
      <c r="E30" s="23" t="s">
        <v>130</v>
      </c>
      <c r="F30" s="17"/>
      <c r="G30" s="154">
        <v>900</v>
      </c>
      <c r="H30" s="17"/>
    </row>
    <row r="31" spans="2:18" ht="15">
      <c r="B31" s="17" t="s">
        <v>129</v>
      </c>
      <c r="C31" s="17"/>
      <c r="D31" s="17"/>
      <c r="E31" s="23" t="s">
        <v>131</v>
      </c>
      <c r="F31" s="17"/>
      <c r="G31" s="186">
        <v>140</v>
      </c>
      <c r="H31" s="17"/>
      <c r="J31" s="84">
        <f>G48-G23</f>
        <v>578</v>
      </c>
      <c r="K31" s="134">
        <f>G34</f>
        <v>85.05</v>
      </c>
      <c r="L31" s="135">
        <f>J31*K31</f>
        <v>49158.9</v>
      </c>
      <c r="M31" t="s">
        <v>158</v>
      </c>
    </row>
    <row r="32" spans="2:18" ht="15">
      <c r="B32" s="17" t="s">
        <v>135</v>
      </c>
      <c r="C32" s="17"/>
      <c r="D32" s="17"/>
      <c r="E32" s="23" t="s">
        <v>46</v>
      </c>
      <c r="F32" s="17"/>
      <c r="G32" s="187">
        <f>G31*G30*G29*0.01</f>
        <v>11907.000000000005</v>
      </c>
      <c r="H32" s="17"/>
      <c r="J32" s="139">
        <f>G40-G23</f>
        <v>208</v>
      </c>
      <c r="K32" s="140">
        <f>G39</f>
        <v>8.5050000000000008</v>
      </c>
      <c r="L32" s="141">
        <f>J32*K32</f>
        <v>1769.0400000000002</v>
      </c>
      <c r="M32" t="s">
        <v>159</v>
      </c>
    </row>
    <row r="33" spans="2:19" ht="15">
      <c r="B33" s="17"/>
      <c r="C33" s="17"/>
      <c r="D33" s="17"/>
      <c r="E33" s="23"/>
      <c r="F33" s="17"/>
      <c r="G33" s="17"/>
      <c r="H33" s="17"/>
      <c r="L33" s="138">
        <f>L31-L32</f>
        <v>47389.86</v>
      </c>
      <c r="M33" t="s">
        <v>161</v>
      </c>
    </row>
    <row r="34" spans="2:19" ht="15.45">
      <c r="B34" s="1" t="s">
        <v>143</v>
      </c>
      <c r="C34" s="1"/>
      <c r="D34" s="1"/>
      <c r="E34" s="9"/>
      <c r="F34" s="17"/>
      <c r="G34" s="158">
        <f>G26</f>
        <v>85.05</v>
      </c>
      <c r="H34" s="17"/>
    </row>
    <row r="35" spans="2:19" ht="15">
      <c r="B35" s="17" t="s">
        <v>150</v>
      </c>
      <c r="C35" s="17"/>
      <c r="D35" s="17"/>
      <c r="E35" s="23"/>
      <c r="F35" s="17"/>
      <c r="G35" s="201">
        <v>44107</v>
      </c>
      <c r="H35" s="17"/>
      <c r="J35" t="s">
        <v>149</v>
      </c>
      <c r="L35" s="138">
        <f>L26+L33</f>
        <v>113879.01</v>
      </c>
    </row>
    <row r="36" spans="2:19" ht="15">
      <c r="B36" s="17"/>
      <c r="C36" s="17"/>
      <c r="D36" s="17"/>
      <c r="E36" s="23"/>
      <c r="F36" s="17"/>
      <c r="G36" s="159"/>
      <c r="H36" s="17"/>
      <c r="J36" t="s">
        <v>153</v>
      </c>
      <c r="L36" s="147">
        <f>L35/G8</f>
        <v>1138.7900999999999</v>
      </c>
      <c r="M36" s="57" t="s">
        <v>162</v>
      </c>
    </row>
    <row r="37" spans="2:19" ht="15.45">
      <c r="B37" s="1" t="s">
        <v>144</v>
      </c>
      <c r="C37" s="17"/>
      <c r="D37" s="17"/>
      <c r="E37" s="23"/>
      <c r="F37" s="17"/>
      <c r="G37" s="158"/>
      <c r="H37" s="17"/>
    </row>
    <row r="38" spans="2:19" ht="15">
      <c r="B38" s="17" t="s">
        <v>255</v>
      </c>
      <c r="H38" s="17"/>
    </row>
    <row r="39" spans="2:19" ht="15">
      <c r="B39" s="17" t="s">
        <v>256</v>
      </c>
      <c r="E39" s="154">
        <v>10</v>
      </c>
      <c r="F39" s="76" t="s">
        <v>3</v>
      </c>
      <c r="G39" s="157">
        <f>E39*G34*0.01</f>
        <v>8.5050000000000008</v>
      </c>
    </row>
    <row r="40" spans="2:19" ht="15">
      <c r="B40" s="17" t="s">
        <v>132</v>
      </c>
      <c r="C40" s="17"/>
      <c r="D40" s="17"/>
      <c r="E40" s="23"/>
      <c r="F40" s="17"/>
      <c r="G40" s="201">
        <v>43886</v>
      </c>
      <c r="H40" s="17"/>
      <c r="P40" s="28" t="s">
        <v>192</v>
      </c>
      <c r="Q40" s="163">
        <f>(G41-G9)*G39</f>
        <v>4252.5</v>
      </c>
      <c r="R40" s="28" t="s">
        <v>194</v>
      </c>
      <c r="S40" s="28"/>
    </row>
    <row r="41" spans="2:19" ht="15">
      <c r="B41" s="17" t="s">
        <v>128</v>
      </c>
      <c r="C41" s="17"/>
      <c r="D41" s="17"/>
      <c r="E41" s="23" t="s">
        <v>130</v>
      </c>
      <c r="F41" s="17"/>
      <c r="G41" s="208">
        <v>1000</v>
      </c>
      <c r="H41" s="17"/>
    </row>
    <row r="42" spans="2:19" ht="15">
      <c r="B42" s="17" t="s">
        <v>129</v>
      </c>
      <c r="C42" s="17"/>
      <c r="D42" s="17"/>
      <c r="E42" s="23" t="s">
        <v>131</v>
      </c>
      <c r="F42" s="17"/>
      <c r="G42" s="186">
        <v>120</v>
      </c>
      <c r="H42" s="17"/>
    </row>
    <row r="43" spans="2:19" ht="15">
      <c r="B43" s="17" t="s">
        <v>135</v>
      </c>
      <c r="C43" s="17"/>
      <c r="D43" s="17"/>
      <c r="E43" s="23" t="s">
        <v>46</v>
      </c>
      <c r="F43" s="17"/>
      <c r="G43" s="187">
        <f>G42*G41*G39*0.01</f>
        <v>10206.000000000002</v>
      </c>
      <c r="H43" s="17"/>
      <c r="P43" s="28" t="s">
        <v>192</v>
      </c>
      <c r="Q43" s="163">
        <f>('2. Bred Heifer Budget'!F25-'1. Description'!G9)*'1. Description'!G34</f>
        <v>91726.425000000003</v>
      </c>
      <c r="R43" s="28" t="s">
        <v>197</v>
      </c>
      <c r="S43" s="28"/>
    </row>
    <row r="44" spans="2:19" ht="15">
      <c r="B44" s="17"/>
      <c r="C44" s="17"/>
      <c r="D44" s="17"/>
      <c r="E44" s="23"/>
      <c r="F44" s="17"/>
      <c r="G44" s="17"/>
      <c r="H44" s="17"/>
      <c r="L44" s="28"/>
      <c r="M44" s="28"/>
      <c r="N44" s="28"/>
      <c r="O44" s="57"/>
      <c r="Q44" s="138">
        <f>Q29+Q30+Q43</f>
        <v>95506.425000000003</v>
      </c>
      <c r="R44" t="s">
        <v>196</v>
      </c>
    </row>
    <row r="45" spans="2:19" ht="15">
      <c r="B45" s="17" t="s">
        <v>205</v>
      </c>
      <c r="C45" s="17"/>
      <c r="D45" s="17"/>
      <c r="E45" s="154">
        <v>0.5</v>
      </c>
      <c r="F45" s="76" t="s">
        <v>3</v>
      </c>
      <c r="G45" s="211">
        <f>E45*0.01*G34</f>
        <v>0.42525000000000002</v>
      </c>
      <c r="H45" s="17"/>
      <c r="L45" s="28"/>
      <c r="M45" s="28"/>
      <c r="N45" s="28"/>
    </row>
    <row r="46" spans="2:19" ht="15">
      <c r="B46" s="17"/>
      <c r="C46" s="17"/>
      <c r="D46" s="17"/>
      <c r="E46" s="23"/>
      <c r="F46" s="17"/>
      <c r="G46" s="17"/>
      <c r="H46" s="17"/>
      <c r="P46" s="28" t="s">
        <v>192</v>
      </c>
      <c r="Q46" s="163">
        <f>('4. PairBudget'!F25-'1. Description'!G9)*'1. Description'!G47</f>
        <v>82698.149240437502</v>
      </c>
      <c r="R46" s="28" t="s">
        <v>195</v>
      </c>
      <c r="S46" s="28"/>
    </row>
    <row r="47" spans="2:19" ht="15.45">
      <c r="B47" s="1" t="s">
        <v>177</v>
      </c>
      <c r="C47" s="17"/>
      <c r="D47" s="17"/>
      <c r="E47" s="23"/>
      <c r="F47" s="17"/>
      <c r="G47" s="160">
        <f>(1-G45*0.01)*(G34-G39)</f>
        <v>76.219492387499997</v>
      </c>
      <c r="H47" s="17"/>
    </row>
    <row r="48" spans="2:19" ht="15">
      <c r="B48" s="17" t="s">
        <v>160</v>
      </c>
      <c r="C48" s="17"/>
      <c r="D48" s="17"/>
      <c r="E48" s="23"/>
      <c r="F48" s="17"/>
      <c r="G48" s="201">
        <v>44256</v>
      </c>
      <c r="H48" s="17"/>
      <c r="Q48" s="138">
        <f>Q29+Q40+Q46</f>
        <v>90730.649240437502</v>
      </c>
      <c r="R48" t="s">
        <v>196</v>
      </c>
    </row>
    <row r="49" spans="2:8" ht="15">
      <c r="B49" s="17"/>
      <c r="C49" s="17"/>
      <c r="D49" s="17"/>
      <c r="E49" s="23"/>
      <c r="F49" s="17"/>
      <c r="G49" s="159"/>
      <c r="H49" s="17"/>
    </row>
    <row r="50" spans="2:8" ht="15.45">
      <c r="B50" s="1" t="s">
        <v>163</v>
      </c>
      <c r="C50" s="17"/>
      <c r="D50" s="17"/>
      <c r="E50" s="17"/>
      <c r="F50" s="23" t="s">
        <v>201</v>
      </c>
      <c r="G50" s="23" t="s">
        <v>237</v>
      </c>
      <c r="H50" s="17"/>
    </row>
    <row r="51" spans="2:8" ht="15">
      <c r="B51" s="17" t="s">
        <v>203</v>
      </c>
      <c r="C51" s="17"/>
      <c r="D51" s="17"/>
      <c r="E51" s="17"/>
      <c r="F51" s="23">
        <f>G8</f>
        <v>100</v>
      </c>
      <c r="G51" s="203">
        <f>G22</f>
        <v>94.5</v>
      </c>
      <c r="H51" s="17"/>
    </row>
    <row r="52" spans="2:8" ht="15">
      <c r="B52" s="17" t="s">
        <v>140</v>
      </c>
      <c r="C52" s="17"/>
      <c r="D52" s="17"/>
      <c r="E52" s="17"/>
      <c r="F52" s="188">
        <f>G26/G8</f>
        <v>0.85049999999999992</v>
      </c>
      <c r="G52" s="188">
        <f>G26/G22</f>
        <v>0.9</v>
      </c>
      <c r="H52" s="17"/>
    </row>
    <row r="53" spans="2:8" ht="15">
      <c r="B53" s="17" t="s">
        <v>202</v>
      </c>
      <c r="C53" s="17"/>
      <c r="D53" s="17"/>
      <c r="E53" s="17"/>
      <c r="F53" s="188">
        <f>G47/G8</f>
        <v>0.76219492387499999</v>
      </c>
      <c r="G53" s="188">
        <f>G47/G22</f>
        <v>0.80655547500000002</v>
      </c>
      <c r="H53" s="17"/>
    </row>
    <row r="54" spans="2:8" ht="15">
      <c r="B54" s="17" t="s">
        <v>141</v>
      </c>
      <c r="C54" s="17"/>
      <c r="D54" s="17"/>
      <c r="E54" s="161">
        <f>G47/G34</f>
        <v>0.89617274999999996</v>
      </c>
      <c r="F54" s="17"/>
      <c r="H54" s="17"/>
    </row>
    <row r="55" spans="2:8" ht="15">
      <c r="B55" s="17"/>
      <c r="C55" s="17"/>
      <c r="D55" s="17"/>
      <c r="E55" s="17"/>
      <c r="F55" s="17"/>
      <c r="G55" s="17"/>
      <c r="H55" s="17"/>
    </row>
    <row r="56" spans="2:8" ht="15">
      <c r="B56" s="17" t="s">
        <v>204</v>
      </c>
      <c r="C56" s="17"/>
      <c r="D56" s="17"/>
      <c r="E56" s="23" t="s">
        <v>2</v>
      </c>
      <c r="F56" s="91">
        <f>E45+E13</f>
        <v>1</v>
      </c>
      <c r="G56" s="161">
        <f>(F56/G8)</f>
        <v>0.01</v>
      </c>
      <c r="H56" s="17"/>
    </row>
    <row r="57" spans="2:8" ht="15">
      <c r="B57" s="17" t="s">
        <v>229</v>
      </c>
      <c r="C57" s="17"/>
      <c r="D57" s="17"/>
      <c r="E57" s="17"/>
      <c r="F57" s="17"/>
      <c r="G57" s="157">
        <f>G16+G29+G39</f>
        <v>22.955000000000005</v>
      </c>
      <c r="H57" s="17"/>
    </row>
    <row r="58" spans="2:8" ht="15">
      <c r="B58" s="36" t="s">
        <v>7</v>
      </c>
      <c r="C58" s="36"/>
      <c r="D58" s="36"/>
      <c r="E58" s="36"/>
      <c r="F58" s="36"/>
      <c r="G58" s="36"/>
    </row>
  </sheetData>
  <sheetProtection sheet="1" objects="1" scenarios="1"/>
  <mergeCells count="1">
    <mergeCell ref="B1:G1"/>
  </mergeCells>
  <phoneticPr fontId="0" type="noConversion"/>
  <printOptions horizontalCentered="1"/>
  <pageMargins left="0.75" right="0.75" top="0.75" bottom="0.75" header="0.5" footer="0.5"/>
  <pageSetup scale="77" orientation="portrait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C90"/>
  <sheetViews>
    <sheetView tabSelected="1" topLeftCell="A29" zoomScaleNormal="100" zoomScaleSheetLayoutView="100" workbookViewId="0">
      <selection activeCell="E53" sqref="E53"/>
    </sheetView>
  </sheetViews>
  <sheetFormatPr defaultRowHeight="12.45"/>
  <cols>
    <col min="1" max="1" width="6.23046875" customWidth="1"/>
    <col min="2" max="2" width="53.69140625" customWidth="1"/>
    <col min="3" max="3" width="12.69140625" customWidth="1"/>
    <col min="4" max="4" width="10.69140625" customWidth="1"/>
    <col min="5" max="5" width="11.4609375" customWidth="1"/>
    <col min="6" max="6" width="13.4609375" customWidth="1"/>
    <col min="7" max="7" width="12.69140625" customWidth="1"/>
    <col min="8" max="8" width="14" customWidth="1"/>
    <col min="11" max="11" width="10.69140625" customWidth="1"/>
    <col min="12" max="12" width="16.69140625" customWidth="1"/>
    <col min="14" max="16" width="12.69140625" customWidth="1"/>
    <col min="18" max="18" width="53.69140625" customWidth="1"/>
    <col min="19" max="24" width="12.69140625" customWidth="1"/>
    <col min="26" max="26" width="14.69140625" customWidth="1"/>
    <col min="28" max="28" width="19.53515625" customWidth="1"/>
  </cols>
  <sheetData>
    <row r="1" spans="2:24" ht="17.600000000000001">
      <c r="B1" s="218" t="s">
        <v>172</v>
      </c>
      <c r="C1" s="218"/>
      <c r="D1" s="218"/>
      <c r="E1" s="218"/>
      <c r="F1" s="218"/>
      <c r="G1" s="218"/>
      <c r="H1" s="218"/>
      <c r="R1" s="219" t="s">
        <v>107</v>
      </c>
      <c r="S1" s="219"/>
      <c r="T1" s="219"/>
      <c r="U1" s="219"/>
      <c r="V1" s="219"/>
      <c r="W1" s="219"/>
      <c r="X1" s="219"/>
    </row>
    <row r="2" spans="2:24">
      <c r="B2" s="86"/>
      <c r="R2" s="86"/>
    </row>
    <row r="3" spans="2:24">
      <c r="B3" s="2"/>
      <c r="R3" s="2"/>
    </row>
    <row r="4" spans="2:24" ht="15">
      <c r="B4" s="13" t="s">
        <v>45</v>
      </c>
      <c r="C4" s="69" t="s">
        <v>145</v>
      </c>
      <c r="D4" s="70"/>
      <c r="E4" s="70"/>
      <c r="F4" s="70"/>
      <c r="G4" s="71"/>
      <c r="H4" s="72"/>
      <c r="R4" s="13" t="s">
        <v>45</v>
      </c>
      <c r="S4" s="97" t="s">
        <v>104</v>
      </c>
      <c r="T4" s="98"/>
      <c r="U4" s="98"/>
      <c r="V4" s="98"/>
      <c r="W4" s="98"/>
      <c r="X4" s="99"/>
    </row>
    <row r="5" spans="2:24" ht="15">
      <c r="B5" s="12"/>
      <c r="G5" s="12"/>
      <c r="H5" s="12"/>
      <c r="R5" s="12"/>
      <c r="S5" s="100" t="s">
        <v>0</v>
      </c>
      <c r="T5" s="100"/>
      <c r="U5" s="100"/>
      <c r="V5" s="3">
        <f ca="1">TODAY()</f>
        <v>43384</v>
      </c>
      <c r="W5" s="100"/>
      <c r="X5" s="100"/>
    </row>
    <row r="6" spans="2:24" ht="15">
      <c r="B6" s="12" t="s">
        <v>178</v>
      </c>
      <c r="C6" s="30"/>
      <c r="D6" s="30"/>
      <c r="E6" s="128" t="s">
        <v>238</v>
      </c>
      <c r="F6" s="73"/>
      <c r="G6" s="17"/>
      <c r="H6" s="17"/>
      <c r="R6" s="12" t="s">
        <v>79</v>
      </c>
      <c r="S6" s="101"/>
      <c r="T6" s="101"/>
      <c r="U6" s="97"/>
      <c r="V6" s="102"/>
      <c r="W6" s="21"/>
      <c r="X6" s="21"/>
    </row>
    <row r="7" spans="2:24" ht="15">
      <c r="B7" s="12" t="s">
        <v>117</v>
      </c>
      <c r="C7" s="12"/>
      <c r="D7" s="12"/>
      <c r="E7" s="129" t="s">
        <v>120</v>
      </c>
      <c r="F7" s="205"/>
      <c r="G7" s="130"/>
      <c r="H7" s="17"/>
      <c r="R7" s="12" t="s">
        <v>68</v>
      </c>
      <c r="S7" s="100"/>
      <c r="T7" s="100"/>
      <c r="U7" s="97"/>
      <c r="V7" s="103"/>
      <c r="W7" s="21"/>
      <c r="X7" s="21"/>
    </row>
    <row r="8" spans="2:24" ht="15">
      <c r="B8" s="12" t="s">
        <v>118</v>
      </c>
      <c r="C8" s="12"/>
      <c r="D8" s="12"/>
      <c r="E8" s="17"/>
      <c r="F8" s="50">
        <f>'1. Description'!G7</f>
        <v>43388</v>
      </c>
      <c r="G8" s="17"/>
      <c r="H8" s="17"/>
      <c r="R8" s="12" t="s">
        <v>69</v>
      </c>
      <c r="S8" s="100"/>
      <c r="T8" s="100"/>
      <c r="U8" s="21"/>
      <c r="V8" s="104">
        <f>'2. Bred Heifer Budget'!F8</f>
        <v>43388</v>
      </c>
      <c r="W8" s="21"/>
      <c r="X8" s="21"/>
    </row>
    <row r="9" spans="2:24" ht="15">
      <c r="B9" s="12" t="s">
        <v>119</v>
      </c>
      <c r="C9" s="13" t="s">
        <v>2</v>
      </c>
      <c r="D9" s="13"/>
      <c r="E9" s="17"/>
      <c r="F9" s="78">
        <f>'1. Description'!G8</f>
        <v>100</v>
      </c>
      <c r="G9" s="17"/>
      <c r="H9" s="17"/>
      <c r="R9" s="12" t="s">
        <v>70</v>
      </c>
      <c r="S9" s="105" t="s">
        <v>2</v>
      </c>
      <c r="T9" s="105"/>
      <c r="U9" s="21"/>
      <c r="V9" s="97">
        <f>'2. Bred Heifer Budget'!F9</f>
        <v>100</v>
      </c>
      <c r="W9" s="21"/>
      <c r="X9" s="21"/>
    </row>
    <row r="10" spans="2:24" ht="15">
      <c r="B10" s="12" t="s">
        <v>82</v>
      </c>
      <c r="C10" s="13" t="s">
        <v>180</v>
      </c>
      <c r="D10" s="13"/>
      <c r="E10" s="17"/>
      <c r="F10" s="78">
        <f>'1. Description'!G9</f>
        <v>500</v>
      </c>
      <c r="G10" s="17"/>
      <c r="H10" s="17"/>
      <c r="R10" s="12" t="s">
        <v>82</v>
      </c>
      <c r="S10" s="105"/>
      <c r="T10" s="105"/>
      <c r="U10" s="21"/>
      <c r="V10" s="97">
        <f>'2. Bred Heifer Budget'!F10</f>
        <v>500</v>
      </c>
      <c r="W10" s="21"/>
      <c r="X10" s="21"/>
    </row>
    <row r="11" spans="2:24" ht="15">
      <c r="B11" s="12" t="s">
        <v>226</v>
      </c>
      <c r="C11" s="13" t="s">
        <v>131</v>
      </c>
      <c r="D11" s="13"/>
      <c r="E11" s="17"/>
      <c r="F11" s="119">
        <f>'1. Description'!G10</f>
        <v>170</v>
      </c>
      <c r="G11" s="17"/>
      <c r="H11" s="17"/>
      <c r="R11" s="12"/>
      <c r="S11" s="105"/>
      <c r="T11" s="105"/>
      <c r="U11" s="21"/>
      <c r="V11" s="97"/>
      <c r="W11" s="21"/>
      <c r="X11" s="21"/>
    </row>
    <row r="12" spans="2:24" ht="15">
      <c r="B12" s="12" t="s">
        <v>227</v>
      </c>
      <c r="C12" s="13" t="s">
        <v>6</v>
      </c>
      <c r="D12" s="13"/>
      <c r="E12" s="17"/>
      <c r="F12" s="175">
        <f>F10*F11*0.01</f>
        <v>850</v>
      </c>
      <c r="G12" s="17"/>
      <c r="H12" s="17"/>
      <c r="R12" s="12" t="s">
        <v>80</v>
      </c>
      <c r="S12" s="105" t="s">
        <v>6</v>
      </c>
      <c r="T12" s="105"/>
      <c r="U12" s="21"/>
      <c r="V12" s="97">
        <v>0</v>
      </c>
      <c r="W12" s="21"/>
      <c r="X12" s="21"/>
    </row>
    <row r="13" spans="2:24" ht="15">
      <c r="B13" s="12" t="s">
        <v>225</v>
      </c>
      <c r="C13" s="13" t="s">
        <v>5</v>
      </c>
      <c r="D13" s="13"/>
      <c r="E13" s="177">
        <f>'1. Description'!G11</f>
        <v>0</v>
      </c>
      <c r="F13" s="62">
        <f>((F12*0.01)*E13)</f>
        <v>0</v>
      </c>
      <c r="G13" s="17"/>
      <c r="H13" s="17"/>
      <c r="R13" s="12" t="s">
        <v>71</v>
      </c>
      <c r="S13" s="105" t="s">
        <v>5</v>
      </c>
      <c r="T13" s="105"/>
      <c r="U13" s="97">
        <f>'2. Bred Heifer Budget'!E13</f>
        <v>0</v>
      </c>
      <c r="V13" s="97">
        <f>'2. Bred Heifer Budget'!F13</f>
        <v>0</v>
      </c>
      <c r="W13" s="21"/>
      <c r="X13" s="21"/>
    </row>
    <row r="14" spans="2:24" ht="15">
      <c r="B14" s="12" t="s">
        <v>73</v>
      </c>
      <c r="C14" s="13" t="s">
        <v>6</v>
      </c>
      <c r="D14" s="13"/>
      <c r="E14" s="178"/>
      <c r="F14" s="175">
        <f>'1. Description'!G12</f>
        <v>0</v>
      </c>
      <c r="G14" s="17"/>
      <c r="H14" s="17"/>
      <c r="R14" s="12" t="s">
        <v>73</v>
      </c>
      <c r="S14" s="105" t="s">
        <v>6</v>
      </c>
      <c r="T14" s="105"/>
      <c r="U14" s="21"/>
      <c r="V14" s="97">
        <v>0</v>
      </c>
      <c r="W14" s="21"/>
      <c r="X14" s="21"/>
    </row>
    <row r="15" spans="2:24" ht="15">
      <c r="B15" s="12"/>
      <c r="C15" s="13"/>
      <c r="D15" s="12"/>
      <c r="E15" s="17"/>
      <c r="F15" s="22"/>
      <c r="G15" s="17"/>
      <c r="H15" s="17"/>
      <c r="R15" s="12"/>
      <c r="S15" s="100"/>
      <c r="T15" s="100"/>
      <c r="U15" s="21"/>
      <c r="V15" s="22"/>
      <c r="W15" s="21"/>
      <c r="X15" s="21"/>
    </row>
    <row r="16" spans="2:24" ht="15.45">
      <c r="B16" s="12" t="s">
        <v>92</v>
      </c>
      <c r="C16" s="13" t="s">
        <v>6</v>
      </c>
      <c r="D16" s="13"/>
      <c r="E16" s="17"/>
      <c r="F16" s="15">
        <f>(F12-F13+F14)</f>
        <v>850</v>
      </c>
      <c r="G16" s="23"/>
      <c r="H16" s="17"/>
      <c r="R16" s="12" t="s">
        <v>92</v>
      </c>
      <c r="S16" s="105" t="s">
        <v>6</v>
      </c>
      <c r="T16" s="105"/>
      <c r="U16" s="21"/>
      <c r="V16" s="97">
        <v>0</v>
      </c>
      <c r="W16" s="106"/>
      <c r="X16" s="21"/>
    </row>
    <row r="17" spans="2:26" ht="15.45">
      <c r="B17" s="12"/>
      <c r="C17" s="13"/>
      <c r="D17" s="13"/>
      <c r="E17" s="17"/>
      <c r="F17" s="60"/>
      <c r="G17" s="23"/>
      <c r="H17" s="17"/>
      <c r="R17" s="12"/>
      <c r="S17" s="105"/>
      <c r="T17" s="105"/>
      <c r="U17" s="21"/>
      <c r="V17" s="15"/>
      <c r="W17" s="106"/>
      <c r="X17" s="21"/>
    </row>
    <row r="18" spans="2:26" ht="15.45">
      <c r="B18" s="1" t="s">
        <v>72</v>
      </c>
      <c r="C18" s="9" t="s">
        <v>46</v>
      </c>
      <c r="D18" s="9"/>
      <c r="E18" s="17"/>
      <c r="F18" s="10">
        <f>(F16*F9)</f>
        <v>85000</v>
      </c>
      <c r="G18" s="8"/>
      <c r="H18" s="22"/>
      <c r="R18" s="1" t="s">
        <v>72</v>
      </c>
      <c r="S18" s="107" t="s">
        <v>46</v>
      </c>
      <c r="T18" s="107"/>
      <c r="U18" s="21"/>
      <c r="V18" s="108">
        <v>0</v>
      </c>
      <c r="W18" s="109"/>
      <c r="X18" s="22"/>
    </row>
    <row r="19" spans="2:26" ht="15">
      <c r="B19" s="11" t="s">
        <v>7</v>
      </c>
      <c r="C19" s="13"/>
      <c r="D19" s="11"/>
      <c r="E19" s="36"/>
      <c r="F19" s="36"/>
      <c r="G19" s="36"/>
      <c r="H19" s="36"/>
      <c r="R19" s="11" t="s">
        <v>7</v>
      </c>
      <c r="S19" s="110"/>
      <c r="T19" s="110"/>
      <c r="U19" s="111"/>
      <c r="V19" s="111"/>
      <c r="W19" s="111"/>
      <c r="X19" s="111"/>
    </row>
    <row r="20" spans="2:26" ht="15">
      <c r="B20" s="12" t="s">
        <v>101</v>
      </c>
      <c r="C20" s="131"/>
      <c r="D20" s="30"/>
      <c r="E20" s="4" t="s">
        <v>102</v>
      </c>
      <c r="F20" s="5"/>
      <c r="G20" s="17"/>
      <c r="H20" s="17"/>
      <c r="R20" s="12" t="s">
        <v>101</v>
      </c>
      <c r="S20" s="101"/>
      <c r="T20" s="101"/>
      <c r="U20" s="97" t="s">
        <v>102</v>
      </c>
      <c r="V20" s="102"/>
      <c r="W20" s="21"/>
      <c r="X20" s="21"/>
    </row>
    <row r="21" spans="2:26" ht="15">
      <c r="B21" s="12"/>
      <c r="C21" s="131"/>
      <c r="D21" s="30"/>
      <c r="E21" s="17"/>
      <c r="F21" s="17"/>
      <c r="G21" s="17"/>
      <c r="H21" s="17"/>
      <c r="R21" s="12"/>
      <c r="S21" s="101"/>
      <c r="T21" s="101"/>
      <c r="U21" s="21"/>
      <c r="V21" s="21"/>
      <c r="W21" s="21"/>
      <c r="X21" s="21"/>
    </row>
    <row r="22" spans="2:26" ht="15">
      <c r="B22" s="12" t="s">
        <v>154</v>
      </c>
      <c r="C22" s="131"/>
      <c r="D22" s="30"/>
      <c r="E22" s="17"/>
      <c r="F22" s="144">
        <f>'1. Description'!G35</f>
        <v>44107</v>
      </c>
      <c r="G22" s="17"/>
      <c r="H22" s="145"/>
      <c r="R22" s="12" t="s">
        <v>1</v>
      </c>
      <c r="S22" s="105"/>
      <c r="T22" s="100"/>
      <c r="U22" s="21"/>
      <c r="V22" s="50">
        <f>V8+V23</f>
        <v>44107</v>
      </c>
      <c r="W22" s="21" t="s">
        <v>94</v>
      </c>
      <c r="X22" s="21"/>
    </row>
    <row r="23" spans="2:26" ht="15">
      <c r="B23" s="12" t="s">
        <v>179</v>
      </c>
      <c r="C23" s="132"/>
      <c r="D23" s="83"/>
      <c r="E23" s="17"/>
      <c r="F23" s="6">
        <f>F22-F8</f>
        <v>719</v>
      </c>
      <c r="G23" s="91"/>
      <c r="H23" s="17"/>
      <c r="R23" s="12" t="s">
        <v>81</v>
      </c>
      <c r="S23" s="105"/>
      <c r="T23" s="100"/>
      <c r="U23" s="21"/>
      <c r="V23" s="6">
        <f>F23</f>
        <v>719</v>
      </c>
      <c r="W23" s="113">
        <f>V23/30.47</f>
        <v>23.596980636691828</v>
      </c>
      <c r="X23" s="21"/>
    </row>
    <row r="24" spans="2:26" ht="15">
      <c r="B24" s="12" t="s">
        <v>8</v>
      </c>
      <c r="C24" s="13" t="s">
        <v>181</v>
      </c>
      <c r="D24" s="13"/>
      <c r="E24" s="17"/>
      <c r="F24" s="34">
        <v>1.5</v>
      </c>
      <c r="G24" s="17"/>
      <c r="H24" s="75"/>
      <c r="R24" s="12" t="s">
        <v>8</v>
      </c>
      <c r="S24" s="105" t="s">
        <v>9</v>
      </c>
      <c r="T24" s="105"/>
      <c r="U24" s="21"/>
      <c r="V24" s="114">
        <f>F24</f>
        <v>1.5</v>
      </c>
      <c r="W24" s="21"/>
      <c r="X24" s="115"/>
    </row>
    <row r="25" spans="2:26" ht="15">
      <c r="B25" s="12" t="s">
        <v>185</v>
      </c>
      <c r="C25" s="13" t="s">
        <v>130</v>
      </c>
      <c r="D25" s="13"/>
      <c r="E25" s="17"/>
      <c r="F25" s="61">
        <f>(F23*F24+F10)</f>
        <v>1578.5</v>
      </c>
      <c r="G25" s="37"/>
      <c r="H25" s="75"/>
      <c r="R25" s="12" t="s">
        <v>83</v>
      </c>
      <c r="S25" s="105" t="s">
        <v>10</v>
      </c>
      <c r="T25" s="105"/>
      <c r="U25" s="21"/>
      <c r="V25" s="116">
        <f>(V23*V24+V10)</f>
        <v>1578.5</v>
      </c>
      <c r="W25" s="37"/>
      <c r="X25" s="115"/>
    </row>
    <row r="26" spans="2:26" ht="15">
      <c r="B26" s="12" t="s">
        <v>84</v>
      </c>
      <c r="C26" s="13" t="s">
        <v>130</v>
      </c>
      <c r="D26" s="13"/>
      <c r="E26" s="17"/>
      <c r="F26" s="6">
        <f>(F25-F10)</f>
        <v>1078.5</v>
      </c>
      <c r="G26" s="23"/>
      <c r="H26" s="38"/>
      <c r="R26" s="12" t="s">
        <v>84</v>
      </c>
      <c r="S26" s="117" t="s">
        <v>85</v>
      </c>
      <c r="T26" s="105"/>
      <c r="U26" s="21"/>
      <c r="V26" s="6">
        <f>(V25-V10)</f>
        <v>1078.5</v>
      </c>
      <c r="W26" s="106"/>
      <c r="X26" s="118"/>
    </row>
    <row r="27" spans="2:26" ht="15">
      <c r="B27" s="12" t="s">
        <v>121</v>
      </c>
      <c r="C27" s="13" t="s">
        <v>2</v>
      </c>
      <c r="D27" s="13"/>
      <c r="E27" s="17"/>
      <c r="F27" s="6">
        <f>'1. Description'!G16+'1. Description'!G29</f>
        <v>14.450000000000003</v>
      </c>
      <c r="G27" s="23"/>
      <c r="H27" s="38"/>
      <c r="R27" s="12" t="s">
        <v>121</v>
      </c>
      <c r="S27" s="13" t="s">
        <v>2</v>
      </c>
      <c r="T27" s="105"/>
      <c r="U27" s="21"/>
      <c r="V27" s="6"/>
      <c r="W27" s="106"/>
      <c r="X27" s="118"/>
    </row>
    <row r="28" spans="2:26" ht="15.45">
      <c r="B28" s="12" t="s">
        <v>122</v>
      </c>
      <c r="C28" s="9" t="s">
        <v>46</v>
      </c>
      <c r="D28" s="13"/>
      <c r="E28" s="17"/>
      <c r="F28" s="125">
        <f>'1. Description'!G19+'1. Description'!G32</f>
        <v>17682.000000000007</v>
      </c>
      <c r="G28" s="23"/>
      <c r="H28" s="38"/>
      <c r="R28" s="12" t="s">
        <v>122</v>
      </c>
      <c r="S28" s="9" t="s">
        <v>46</v>
      </c>
      <c r="T28" s="105"/>
      <c r="U28" s="21"/>
      <c r="V28" s="6"/>
      <c r="W28" s="106"/>
      <c r="X28" s="118"/>
    </row>
    <row r="29" spans="2:26" ht="15">
      <c r="B29" s="12" t="s">
        <v>123</v>
      </c>
      <c r="C29" s="13" t="s">
        <v>2</v>
      </c>
      <c r="D29" s="13"/>
      <c r="E29" s="17"/>
      <c r="F29" s="6">
        <f>'1. Description'!G13</f>
        <v>0.5</v>
      </c>
      <c r="G29" s="23"/>
      <c r="H29" s="38"/>
      <c r="R29" s="12" t="s">
        <v>123</v>
      </c>
      <c r="S29" s="13" t="s">
        <v>124</v>
      </c>
      <c r="T29" s="105"/>
      <c r="U29" s="21"/>
      <c r="V29" s="6"/>
      <c r="W29" s="106"/>
      <c r="X29" s="118"/>
    </row>
    <row r="30" spans="2:26" ht="15">
      <c r="B30" s="58" t="s">
        <v>93</v>
      </c>
      <c r="C30" s="13" t="s">
        <v>6</v>
      </c>
      <c r="D30" s="13"/>
      <c r="E30" s="17"/>
      <c r="F30" s="126">
        <v>1500</v>
      </c>
      <c r="G30" s="17"/>
      <c r="H30" s="17"/>
      <c r="J30" s="7"/>
      <c r="R30" s="58" t="s">
        <v>93</v>
      </c>
      <c r="S30" s="105" t="s">
        <v>6</v>
      </c>
      <c r="T30" s="105"/>
      <c r="U30" s="21"/>
      <c r="V30" s="112">
        <f>F30</f>
        <v>1500</v>
      </c>
      <c r="W30" s="21"/>
      <c r="X30" s="21"/>
      <c r="Z30" s="7"/>
    </row>
    <row r="31" spans="2:26" ht="15">
      <c r="B31" s="12" t="s">
        <v>4</v>
      </c>
      <c r="C31" s="13" t="s">
        <v>5</v>
      </c>
      <c r="D31" s="13"/>
      <c r="E31" s="59">
        <v>2</v>
      </c>
      <c r="F31" s="62">
        <f>E31*F30*0.01</f>
        <v>30</v>
      </c>
      <c r="G31" s="23"/>
      <c r="H31" s="23"/>
      <c r="J31" s="7"/>
      <c r="R31" s="12" t="s">
        <v>4</v>
      </c>
      <c r="S31" s="105" t="s">
        <v>5</v>
      </c>
      <c r="T31" s="105"/>
      <c r="U31" s="112">
        <f>E31</f>
        <v>2</v>
      </c>
      <c r="V31" s="119">
        <f>((V30*U31*0.01))</f>
        <v>30</v>
      </c>
      <c r="W31" s="106"/>
      <c r="X31" s="106"/>
      <c r="Z31" s="7"/>
    </row>
    <row r="32" spans="2:26" ht="15">
      <c r="B32" s="12" t="s">
        <v>91</v>
      </c>
      <c r="C32" s="13" t="s">
        <v>6</v>
      </c>
      <c r="D32" s="13"/>
      <c r="E32" s="17"/>
      <c r="F32" s="35">
        <v>1</v>
      </c>
      <c r="G32" s="17"/>
      <c r="H32" s="23"/>
      <c r="R32" s="12" t="s">
        <v>91</v>
      </c>
      <c r="S32" s="105" t="s">
        <v>6</v>
      </c>
      <c r="T32" s="105"/>
      <c r="U32" s="21"/>
      <c r="V32" s="114">
        <f>F32</f>
        <v>1</v>
      </c>
      <c r="W32" s="21"/>
      <c r="X32" s="106"/>
    </row>
    <row r="33" spans="2:29" ht="15">
      <c r="B33" s="12" t="s">
        <v>11</v>
      </c>
      <c r="C33" s="13" t="s">
        <v>2</v>
      </c>
      <c r="D33" s="13"/>
      <c r="E33" s="17"/>
      <c r="F33" s="137">
        <f>'1. Description'!G34</f>
        <v>85.05</v>
      </c>
      <c r="G33" s="124"/>
      <c r="H33" s="39"/>
      <c r="R33" s="12" t="s">
        <v>11</v>
      </c>
      <c r="S33" s="105" t="s">
        <v>2</v>
      </c>
      <c r="T33" s="105"/>
      <c r="U33" s="21"/>
      <c r="V33" s="112">
        <f>F33</f>
        <v>85.05</v>
      </c>
      <c r="W33" s="47"/>
      <c r="X33" s="39"/>
    </row>
    <row r="34" spans="2:29" ht="15">
      <c r="B34" s="12" t="s">
        <v>86</v>
      </c>
      <c r="C34" s="13" t="s">
        <v>6</v>
      </c>
      <c r="D34" s="13"/>
      <c r="E34" s="17"/>
      <c r="F34" s="40">
        <f>((F30-F32-F31))</f>
        <v>1469</v>
      </c>
      <c r="R34" s="12" t="s">
        <v>86</v>
      </c>
      <c r="S34" s="105" t="s">
        <v>6</v>
      </c>
      <c r="T34" s="105"/>
      <c r="U34" s="21"/>
      <c r="V34" s="22">
        <f>((V30-V32-V31))</f>
        <v>1469</v>
      </c>
      <c r="W34" s="120"/>
      <c r="X34" s="120"/>
    </row>
    <row r="35" spans="2:29" ht="15">
      <c r="C35" s="133"/>
      <c r="G35" s="17"/>
      <c r="H35" s="17"/>
      <c r="S35" s="120"/>
      <c r="T35" s="120"/>
      <c r="U35" s="120"/>
      <c r="V35" s="120"/>
      <c r="W35" s="21"/>
      <c r="X35" s="21"/>
    </row>
    <row r="36" spans="2:29" ht="15.45">
      <c r="B36" s="1" t="s">
        <v>12</v>
      </c>
      <c r="C36" s="9" t="s">
        <v>46</v>
      </c>
      <c r="D36" s="9"/>
      <c r="E36" s="17"/>
      <c r="F36" s="10">
        <f>(F34*F33)+F28</f>
        <v>142620.45000000001</v>
      </c>
      <c r="G36" s="1"/>
      <c r="H36" s="87"/>
      <c r="R36" s="1" t="s">
        <v>12</v>
      </c>
      <c r="S36" s="9" t="s">
        <v>46</v>
      </c>
      <c r="T36" s="9"/>
      <c r="U36" s="17"/>
      <c r="V36" s="10">
        <f>(V34*V33)</f>
        <v>124938.45</v>
      </c>
      <c r="W36" s="1"/>
      <c r="X36" s="87"/>
    </row>
    <row r="37" spans="2:29" ht="15">
      <c r="B37" s="12"/>
      <c r="C37" s="12"/>
      <c r="D37" s="12"/>
      <c r="E37" s="17"/>
      <c r="F37" s="40"/>
      <c r="G37" s="17"/>
      <c r="H37" s="17"/>
      <c r="R37" s="12"/>
      <c r="S37" s="12"/>
      <c r="T37" s="12"/>
      <c r="U37" s="17"/>
      <c r="V37" s="40"/>
      <c r="W37" s="17"/>
      <c r="X37" s="17"/>
    </row>
    <row r="38" spans="2:29" ht="15.45">
      <c r="B38" s="12"/>
      <c r="C38" s="12"/>
      <c r="D38" s="12"/>
      <c r="E38" s="17"/>
      <c r="F38" s="9" t="s">
        <v>13</v>
      </c>
      <c r="G38" s="9" t="s">
        <v>13</v>
      </c>
      <c r="H38" s="9" t="s">
        <v>47</v>
      </c>
      <c r="R38" s="12"/>
      <c r="S38" s="12"/>
      <c r="T38" s="12"/>
      <c r="U38" s="17"/>
      <c r="V38" s="9" t="s">
        <v>13</v>
      </c>
      <c r="W38" s="9" t="s">
        <v>13</v>
      </c>
      <c r="X38" s="9" t="s">
        <v>47</v>
      </c>
    </row>
    <row r="39" spans="2:29" ht="15.45">
      <c r="B39" s="1" t="s">
        <v>14</v>
      </c>
      <c r="C39" s="12"/>
      <c r="D39" s="12"/>
      <c r="E39" s="9"/>
      <c r="F39" s="152" t="s">
        <v>21</v>
      </c>
      <c r="G39" s="152" t="s">
        <v>6</v>
      </c>
      <c r="H39" s="152" t="s">
        <v>21</v>
      </c>
      <c r="R39" s="1" t="s">
        <v>14</v>
      </c>
      <c r="S39" s="12"/>
      <c r="T39" s="12"/>
      <c r="U39" s="9"/>
      <c r="V39" s="10" t="s">
        <v>96</v>
      </c>
      <c r="W39" s="10" t="s">
        <v>95</v>
      </c>
      <c r="X39" s="10" t="s">
        <v>96</v>
      </c>
    </row>
    <row r="40" spans="2:29" ht="15.45">
      <c r="B40" s="12" t="s">
        <v>74</v>
      </c>
      <c r="C40" s="12"/>
      <c r="D40" s="12"/>
      <c r="E40" s="17"/>
      <c r="F40" s="1"/>
      <c r="G40" s="23" t="s">
        <v>15</v>
      </c>
      <c r="H40" s="40"/>
      <c r="L40" t="s">
        <v>16</v>
      </c>
      <c r="R40" s="12" t="s">
        <v>74</v>
      </c>
      <c r="S40" s="12"/>
      <c r="T40" s="12"/>
      <c r="U40" s="17"/>
      <c r="V40" s="1"/>
      <c r="W40" s="23" t="s">
        <v>15</v>
      </c>
      <c r="X40" s="40"/>
      <c r="AB40" t="s">
        <v>16</v>
      </c>
    </row>
    <row r="41" spans="2:29" ht="15">
      <c r="B41" s="12" t="s">
        <v>17</v>
      </c>
      <c r="C41" s="13" t="s">
        <v>18</v>
      </c>
      <c r="D41" s="13"/>
      <c r="E41" s="14">
        <v>0</v>
      </c>
      <c r="F41" s="17" t="s">
        <v>183</v>
      </c>
      <c r="G41" s="63">
        <v>5</v>
      </c>
      <c r="H41" s="40" t="s">
        <v>3</v>
      </c>
      <c r="L41" t="s">
        <v>20</v>
      </c>
      <c r="R41" s="12" t="s">
        <v>17</v>
      </c>
      <c r="S41" s="13" t="s">
        <v>18</v>
      </c>
      <c r="T41" s="13"/>
      <c r="U41" s="123">
        <f>E41</f>
        <v>0</v>
      </c>
      <c r="V41" s="82" t="s">
        <v>19</v>
      </c>
      <c r="W41" s="123">
        <f>G41</f>
        <v>5</v>
      </c>
      <c r="X41" s="40" t="s">
        <v>3</v>
      </c>
      <c r="AB41" t="s">
        <v>20</v>
      </c>
    </row>
    <row r="42" spans="2:29" ht="15">
      <c r="B42" s="12" t="s">
        <v>40</v>
      </c>
      <c r="C42" s="13" t="s">
        <v>46</v>
      </c>
      <c r="D42" s="13"/>
      <c r="E42" s="17"/>
      <c r="F42" s="23" t="s">
        <v>21</v>
      </c>
      <c r="G42" s="153" t="s">
        <v>184</v>
      </c>
      <c r="H42" s="64">
        <f>L51</f>
        <v>9519.6044306298791</v>
      </c>
      <c r="L42" s="43">
        <f>($G$41*($D$46/365))</f>
        <v>9.1081027397260268</v>
      </c>
      <c r="M42" t="s">
        <v>3</v>
      </c>
      <c r="R42" s="12" t="s">
        <v>40</v>
      </c>
      <c r="S42" s="13" t="s">
        <v>46</v>
      </c>
      <c r="T42" s="13"/>
      <c r="U42" s="17"/>
      <c r="V42" s="23" t="s">
        <v>21</v>
      </c>
      <c r="W42" s="40" t="s">
        <v>95</v>
      </c>
      <c r="X42" s="64">
        <f>AB51</f>
        <v>2688.5273758353592</v>
      </c>
      <c r="AB42" s="43">
        <f>($G$41*($T$46/365))</f>
        <v>9.1081027397260268</v>
      </c>
      <c r="AC42" t="s">
        <v>3</v>
      </c>
    </row>
    <row r="43" spans="2:29" ht="15">
      <c r="B43" s="12" t="s">
        <v>22</v>
      </c>
      <c r="C43" s="13" t="s">
        <v>182</v>
      </c>
      <c r="D43" s="12"/>
      <c r="E43" s="48">
        <f>(F43/F9)</f>
        <v>0</v>
      </c>
      <c r="F43" s="64">
        <f>(E41*H42*0.01)</f>
        <v>0</v>
      </c>
      <c r="G43" s="22">
        <f>F43/$F$33</f>
        <v>0</v>
      </c>
      <c r="H43" s="40"/>
      <c r="L43" t="s">
        <v>51</v>
      </c>
      <c r="R43" s="12" t="s">
        <v>22</v>
      </c>
      <c r="S43" s="13" t="s">
        <v>23</v>
      </c>
      <c r="T43" s="12"/>
      <c r="U43" s="48">
        <f>(V43/V9)</f>
        <v>0</v>
      </c>
      <c r="V43" s="64">
        <f>(U41*X42*0.01)</f>
        <v>0</v>
      </c>
      <c r="W43" s="22">
        <f>V43/$F$33</f>
        <v>0</v>
      </c>
      <c r="AB43" t="s">
        <v>51</v>
      </c>
    </row>
    <row r="44" spans="2:29" ht="15">
      <c r="B44" s="12" t="s">
        <v>106</v>
      </c>
      <c r="C44" s="13" t="s">
        <v>46</v>
      </c>
      <c r="F44" s="64">
        <f>F18</f>
        <v>85000</v>
      </c>
      <c r="G44" s="40">
        <f t="shared" ref="G44:G54" si="0">F44/$F$33</f>
        <v>999.41211052322171</v>
      </c>
      <c r="H44" s="40">
        <f>F44</f>
        <v>85000</v>
      </c>
      <c r="L44" s="45">
        <f>((SUM($F$45:$F$52)*0.5*(($D$46/365)*$G$41*0.01)))</f>
        <v>1777.7171018627564</v>
      </c>
      <c r="M44" t="s">
        <v>25</v>
      </c>
      <c r="R44" s="12" t="s">
        <v>106</v>
      </c>
      <c r="S44" s="13" t="s">
        <v>46</v>
      </c>
      <c r="V44" s="64">
        <v>0</v>
      </c>
      <c r="W44" s="40">
        <f>V44/$F$33</f>
        <v>0</v>
      </c>
      <c r="X44" s="40">
        <f>V44</f>
        <v>0</v>
      </c>
      <c r="AB44" s="45">
        <f>((SUM($V$45:$V$52)*0.5*(($T$46/365)*$W$41*0.01)))</f>
        <v>2688.5273758353592</v>
      </c>
      <c r="AC44" t="s">
        <v>25</v>
      </c>
    </row>
    <row r="45" spans="2:29" ht="15">
      <c r="B45" s="12" t="s">
        <v>44</v>
      </c>
      <c r="C45" s="13"/>
      <c r="D45" s="13" t="s">
        <v>32</v>
      </c>
      <c r="E45" s="197" t="s">
        <v>244</v>
      </c>
      <c r="F45" s="17"/>
      <c r="H45" s="40"/>
      <c r="R45" s="12" t="s">
        <v>44</v>
      </c>
      <c r="S45" s="13"/>
      <c r="T45" s="13" t="s">
        <v>32</v>
      </c>
      <c r="U45" s="41" t="s">
        <v>24</v>
      </c>
      <c r="V45" s="40"/>
      <c r="X45" s="40"/>
    </row>
    <row r="46" spans="2:29" ht="15">
      <c r="B46" s="18" t="s">
        <v>78</v>
      </c>
      <c r="C46" s="19" t="s">
        <v>26</v>
      </c>
      <c r="D46" s="66">
        <f>'1. Description'!L27</f>
        <v>664.89149999999995</v>
      </c>
      <c r="E46" s="65">
        <v>0.65</v>
      </c>
      <c r="F46" s="40">
        <f>D46*E46*$F$9</f>
        <v>43217.947499999995</v>
      </c>
      <c r="G46" s="40">
        <f t="shared" si="0"/>
        <v>508.14753086419751</v>
      </c>
      <c r="H46" s="40">
        <f t="shared" ref="H46:H54" si="1">F46</f>
        <v>43217.947499999995</v>
      </c>
      <c r="L46" s="45">
        <f>($F$16*$F$9)*(($D$46/365)*$G$41*0.01)</f>
        <v>7741.8873287671231</v>
      </c>
      <c r="M46" t="s">
        <v>27</v>
      </c>
      <c r="R46" s="22" t="str">
        <f>B46</f>
        <v xml:space="preserve">   Cost Based on Days Fed and/or Grazed</v>
      </c>
      <c r="S46" s="22" t="str">
        <f>C46</f>
        <v xml:space="preserve">     Days </v>
      </c>
      <c r="T46" s="37">
        <f>D46</f>
        <v>664.89149999999995</v>
      </c>
      <c r="U46" s="22">
        <f>K57</f>
        <v>0.88790347748467224</v>
      </c>
      <c r="V46" s="40">
        <f>T46*U46*$V$9</f>
        <v>59035.947499999987</v>
      </c>
      <c r="W46" s="40">
        <f t="shared" ref="W46:W54" si="2">V46/$F$33</f>
        <v>694.13224573780121</v>
      </c>
      <c r="X46" s="40">
        <f t="shared" ref="X46:X54" si="3">V46</f>
        <v>59035.947499999987</v>
      </c>
      <c r="AB46" s="45">
        <f>($V$16*$V$9)*(($T$46/365)*$W$41*0.01)</f>
        <v>0</v>
      </c>
      <c r="AC46" t="s">
        <v>27</v>
      </c>
    </row>
    <row r="47" spans="2:29" ht="15">
      <c r="B47" s="20" t="s">
        <v>41</v>
      </c>
      <c r="C47" s="31" t="s">
        <v>182</v>
      </c>
      <c r="D47" s="67">
        <v>1</v>
      </c>
      <c r="E47" s="65">
        <v>20</v>
      </c>
      <c r="F47" s="40">
        <f t="shared" ref="F47:F52" si="4">(D47*E47*$F$9)</f>
        <v>2000</v>
      </c>
      <c r="G47" s="22">
        <f t="shared" si="0"/>
        <v>23.515579071134628</v>
      </c>
      <c r="H47" s="40">
        <f t="shared" si="1"/>
        <v>2000</v>
      </c>
      <c r="R47" s="121" t="str">
        <f t="shared" ref="R47:S53" si="5">B47</f>
        <v xml:space="preserve">   Processing and Health</v>
      </c>
      <c r="S47" s="22" t="str">
        <f t="shared" si="5"/>
        <v>$/Hd</v>
      </c>
      <c r="T47" s="37"/>
      <c r="U47" s="22"/>
      <c r="V47" s="40">
        <f t="shared" ref="V47:V52" si="6">(T47*U47*$F$9)</f>
        <v>0</v>
      </c>
      <c r="W47" s="22">
        <f t="shared" si="2"/>
        <v>0</v>
      </c>
      <c r="X47" s="40">
        <f t="shared" si="3"/>
        <v>0</v>
      </c>
    </row>
    <row r="48" spans="2:29" ht="15">
      <c r="B48" s="20" t="s">
        <v>115</v>
      </c>
      <c r="C48" s="31" t="s">
        <v>182</v>
      </c>
      <c r="D48" s="67">
        <v>1</v>
      </c>
      <c r="E48" s="65">
        <v>70</v>
      </c>
      <c r="F48" s="40">
        <f t="shared" si="4"/>
        <v>7000</v>
      </c>
      <c r="G48" s="22">
        <f t="shared" si="0"/>
        <v>82.304526748971199</v>
      </c>
      <c r="H48" s="40">
        <f>F48</f>
        <v>7000</v>
      </c>
      <c r="R48" s="121" t="str">
        <f t="shared" si="5"/>
        <v xml:space="preserve">   Breeding</v>
      </c>
      <c r="S48" s="22" t="str">
        <f t="shared" si="5"/>
        <v>$/Hd</v>
      </c>
      <c r="T48" s="37"/>
      <c r="U48" s="22"/>
      <c r="V48" s="40">
        <f t="shared" si="6"/>
        <v>0</v>
      </c>
      <c r="W48" s="22">
        <f t="shared" si="2"/>
        <v>0</v>
      </c>
      <c r="X48" s="40">
        <f t="shared" si="3"/>
        <v>0</v>
      </c>
    </row>
    <row r="49" spans="2:29" ht="15">
      <c r="B49" s="20" t="s">
        <v>258</v>
      </c>
      <c r="C49" s="74" t="s">
        <v>182</v>
      </c>
      <c r="D49" s="67">
        <v>1</v>
      </c>
      <c r="E49" s="65">
        <v>5</v>
      </c>
      <c r="F49" s="40">
        <f t="shared" si="4"/>
        <v>500</v>
      </c>
      <c r="G49" s="22">
        <f t="shared" si="0"/>
        <v>5.8788947677836569</v>
      </c>
      <c r="H49" s="40">
        <f>F49</f>
        <v>500</v>
      </c>
      <c r="R49" s="121" t="str">
        <f t="shared" si="5"/>
        <v xml:space="preserve">   Pregnancy. Test</v>
      </c>
      <c r="S49" s="22" t="str">
        <f t="shared" si="5"/>
        <v>$/Hd</v>
      </c>
      <c r="T49" s="37"/>
      <c r="U49" s="22"/>
      <c r="V49" s="40">
        <f t="shared" si="6"/>
        <v>0</v>
      </c>
      <c r="W49" s="22">
        <f t="shared" si="2"/>
        <v>0</v>
      </c>
      <c r="X49" s="40">
        <f t="shared" si="3"/>
        <v>0</v>
      </c>
    </row>
    <row r="50" spans="2:29" ht="15">
      <c r="B50" s="20" t="s">
        <v>28</v>
      </c>
      <c r="C50" s="74" t="s">
        <v>182</v>
      </c>
      <c r="D50" s="67">
        <v>1</v>
      </c>
      <c r="E50" s="65">
        <v>0</v>
      </c>
      <c r="F50" s="40">
        <f t="shared" si="4"/>
        <v>0</v>
      </c>
      <c r="G50" s="22">
        <f t="shared" si="0"/>
        <v>0</v>
      </c>
      <c r="H50" s="40">
        <f>F50</f>
        <v>0</v>
      </c>
      <c r="R50" s="121" t="str">
        <f t="shared" si="5"/>
        <v xml:space="preserve">   Other</v>
      </c>
      <c r="S50" s="22" t="str">
        <f t="shared" si="5"/>
        <v>$/Hd</v>
      </c>
      <c r="T50" s="37"/>
      <c r="U50" s="22"/>
      <c r="V50" s="40">
        <f t="shared" si="6"/>
        <v>0</v>
      </c>
      <c r="W50" s="22">
        <f t="shared" si="2"/>
        <v>0</v>
      </c>
      <c r="X50" s="40">
        <f t="shared" si="3"/>
        <v>0</v>
      </c>
    </row>
    <row r="51" spans="2:29" ht="15">
      <c r="B51" s="20" t="s">
        <v>42</v>
      </c>
      <c r="C51" s="74" t="s">
        <v>182</v>
      </c>
      <c r="D51" s="67">
        <v>1</v>
      </c>
      <c r="E51" s="65">
        <v>40</v>
      </c>
      <c r="F51" s="40">
        <f t="shared" si="4"/>
        <v>4000</v>
      </c>
      <c r="G51" s="22">
        <f t="shared" si="0"/>
        <v>47.031158142269256</v>
      </c>
      <c r="H51" s="40">
        <f t="shared" si="1"/>
        <v>4000</v>
      </c>
      <c r="L51" s="44">
        <f>(L44+L46)</f>
        <v>9519.6044306298791</v>
      </c>
      <c r="M51" t="s">
        <v>21</v>
      </c>
      <c r="R51" s="121" t="str">
        <f t="shared" si="5"/>
        <v xml:space="preserve">   General and Administrative</v>
      </c>
      <c r="S51" s="22" t="str">
        <f t="shared" si="5"/>
        <v>$/Hd</v>
      </c>
      <c r="T51" s="37"/>
      <c r="U51" s="22"/>
      <c r="V51" s="40">
        <f t="shared" si="6"/>
        <v>0</v>
      </c>
      <c r="W51" s="22">
        <f t="shared" si="2"/>
        <v>0</v>
      </c>
      <c r="X51" s="40">
        <f t="shared" si="3"/>
        <v>0</v>
      </c>
      <c r="AB51" s="44">
        <f>(AB44+AB46)</f>
        <v>2688.5273758353592</v>
      </c>
      <c r="AC51" t="s">
        <v>21</v>
      </c>
    </row>
    <row r="52" spans="2:29" ht="15">
      <c r="B52" s="21" t="s">
        <v>186</v>
      </c>
      <c r="C52" s="31" t="s">
        <v>182</v>
      </c>
      <c r="D52" s="116">
        <v>1</v>
      </c>
      <c r="E52" s="22">
        <f>(F28/F9)*-1</f>
        <v>-176.82000000000008</v>
      </c>
      <c r="F52" s="40">
        <f t="shared" si="4"/>
        <v>-17682.000000000007</v>
      </c>
      <c r="G52" s="22">
        <f t="shared" si="0"/>
        <v>-207.90123456790133</v>
      </c>
      <c r="H52" s="40">
        <f>F52</f>
        <v>-17682.000000000007</v>
      </c>
      <c r="R52" s="121" t="str">
        <f t="shared" si="5"/>
        <v xml:space="preserve">   Cost Adjustment for Value of Culled Heifers</v>
      </c>
      <c r="S52" s="22" t="str">
        <f t="shared" si="5"/>
        <v>$/Hd</v>
      </c>
      <c r="T52" s="37"/>
      <c r="U52" s="22"/>
      <c r="V52" s="40">
        <f t="shared" si="6"/>
        <v>0</v>
      </c>
      <c r="W52" s="22">
        <f t="shared" si="2"/>
        <v>0</v>
      </c>
      <c r="X52" s="40">
        <f t="shared" si="3"/>
        <v>0</v>
      </c>
    </row>
    <row r="53" spans="2:29" ht="15">
      <c r="B53" s="21" t="s">
        <v>29</v>
      </c>
      <c r="C53" s="31" t="s">
        <v>182</v>
      </c>
      <c r="D53" s="67">
        <v>1</v>
      </c>
      <c r="E53" s="65">
        <v>100</v>
      </c>
      <c r="F53" s="40">
        <f>(E53*$F$9)</f>
        <v>10000</v>
      </c>
      <c r="G53" s="22">
        <f t="shared" si="0"/>
        <v>117.57789535567314</v>
      </c>
      <c r="H53" s="40">
        <f t="shared" si="1"/>
        <v>10000</v>
      </c>
      <c r="R53" s="121" t="str">
        <f t="shared" si="5"/>
        <v xml:space="preserve">   Management Cost or Return</v>
      </c>
      <c r="S53" s="22" t="str">
        <f t="shared" si="5"/>
        <v>$/Hd</v>
      </c>
      <c r="T53" s="37">
        <f>D53</f>
        <v>1</v>
      </c>
      <c r="U53" s="125">
        <f>E53</f>
        <v>100</v>
      </c>
      <c r="V53" s="40">
        <v>0</v>
      </c>
      <c r="W53" s="22">
        <f t="shared" si="2"/>
        <v>0</v>
      </c>
      <c r="X53" s="40">
        <f t="shared" si="3"/>
        <v>0</v>
      </c>
    </row>
    <row r="54" spans="2:29" ht="15">
      <c r="B54" s="12" t="s">
        <v>113</v>
      </c>
      <c r="C54" s="31" t="s">
        <v>182</v>
      </c>
      <c r="D54" s="68">
        <v>1</v>
      </c>
      <c r="E54" s="65">
        <v>100</v>
      </c>
      <c r="F54" s="40">
        <f>(D54*E54*$F$9)</f>
        <v>10000</v>
      </c>
      <c r="G54" s="22">
        <f t="shared" si="0"/>
        <v>117.57789535567314</v>
      </c>
      <c r="H54" s="40">
        <f t="shared" si="1"/>
        <v>10000</v>
      </c>
      <c r="L54" s="57" t="s">
        <v>39</v>
      </c>
      <c r="R54" s="122" t="s">
        <v>43</v>
      </c>
      <c r="S54" s="32" t="s">
        <v>23</v>
      </c>
      <c r="T54" s="37">
        <f>D54</f>
        <v>1</v>
      </c>
      <c r="U54" s="125">
        <f>E54</f>
        <v>100</v>
      </c>
      <c r="V54" s="40">
        <v>0</v>
      </c>
      <c r="W54" s="22">
        <f t="shared" si="2"/>
        <v>0</v>
      </c>
      <c r="X54" s="40">
        <f t="shared" si="3"/>
        <v>0</v>
      </c>
      <c r="AB54" s="57" t="s">
        <v>39</v>
      </c>
    </row>
    <row r="55" spans="2:29" ht="15.45">
      <c r="B55" s="1" t="s">
        <v>105</v>
      </c>
      <c r="C55" s="12"/>
      <c r="D55" s="12"/>
      <c r="E55" s="15"/>
      <c r="F55" s="10">
        <f>SUM(F43:F54)</f>
        <v>144035.94750000001</v>
      </c>
      <c r="G55" s="22"/>
      <c r="H55" s="10">
        <f>SUM(H42:H54)</f>
        <v>153555.55193062988</v>
      </c>
      <c r="K55" t="s">
        <v>200</v>
      </c>
      <c r="R55" s="1" t="s">
        <v>30</v>
      </c>
      <c r="S55" s="12"/>
      <c r="T55" s="12"/>
      <c r="U55" s="15"/>
      <c r="V55" s="10">
        <f>SUM(V43:V54)</f>
        <v>59035.947499999987</v>
      </c>
      <c r="W55" s="22"/>
      <c r="X55" s="10">
        <f>SUM(X42:X54)</f>
        <v>61724.474875835345</v>
      </c>
      <c r="Z55" s="17" t="s">
        <v>114</v>
      </c>
    </row>
    <row r="56" spans="2:29" ht="15.45">
      <c r="B56" s="1"/>
      <c r="C56" s="12"/>
      <c r="D56" s="12"/>
      <c r="E56" s="15"/>
      <c r="F56" s="10"/>
      <c r="G56" s="40"/>
      <c r="H56" s="10"/>
      <c r="K56" t="s">
        <v>199</v>
      </c>
      <c r="R56" s="1"/>
      <c r="S56" s="12"/>
      <c r="T56" s="12"/>
      <c r="U56" s="15"/>
      <c r="V56" s="10"/>
      <c r="W56" s="40"/>
      <c r="X56" s="10"/>
      <c r="Z56" s="17" t="s">
        <v>103</v>
      </c>
    </row>
    <row r="57" spans="2:29" ht="15.45">
      <c r="B57" s="1" t="s">
        <v>257</v>
      </c>
      <c r="C57" s="146"/>
      <c r="D57" s="12"/>
      <c r="E57" s="146" t="s">
        <v>182</v>
      </c>
      <c r="G57" s="10">
        <f>((F55)/$F$33)</f>
        <v>1693.544356261023</v>
      </c>
      <c r="H57" s="10">
        <f>((H55)/$F$33)</f>
        <v>1805.4738616182233</v>
      </c>
      <c r="K57" s="26">
        <f>(F43+SUM(F46:F54))/(D46*F9)</f>
        <v>0.88790347748467224</v>
      </c>
      <c r="L57" s="52"/>
      <c r="R57" s="12" t="s">
        <v>97</v>
      </c>
      <c r="S57" s="32" t="s">
        <v>23</v>
      </c>
      <c r="T57" s="12"/>
      <c r="U57" s="15"/>
      <c r="W57" s="10">
        <f>(V55/$V$33)</f>
        <v>694.13224573780121</v>
      </c>
      <c r="X57" s="15">
        <f>(X55/$F$33)</f>
        <v>725.74338478348443</v>
      </c>
      <c r="Z57" s="48">
        <f>SUM($V$43:$V$54)/($T$46*$V$9)</f>
        <v>0.88790347748467224</v>
      </c>
      <c r="AB57" s="52"/>
    </row>
    <row r="58" spans="2:29" ht="15">
      <c r="B58" s="17"/>
      <c r="C58" s="17"/>
      <c r="D58" s="17"/>
      <c r="E58" s="42"/>
      <c r="F58" s="40"/>
      <c r="G58" s="40"/>
      <c r="H58" s="40"/>
      <c r="L58" s="55">
        <f>IF($F$23=0,0,((($F$55-$F$43)*0.5+$F$18)*($D$46/365)))</f>
        <v>286027.16737972089</v>
      </c>
      <c r="M58" t="s">
        <v>35</v>
      </c>
      <c r="R58" s="12"/>
      <c r="S58" s="12"/>
      <c r="T58" s="12"/>
      <c r="U58" s="42"/>
      <c r="V58" s="40"/>
      <c r="W58" s="40"/>
      <c r="X58" s="40"/>
      <c r="Z58" s="17"/>
      <c r="AB58" s="55">
        <f>IF($V$23=0,0,((($V$55-$V$43)*0.5+$V$18)*($T$46/365)))</f>
        <v>53770.547516707178</v>
      </c>
      <c r="AC58" t="s">
        <v>35</v>
      </c>
    </row>
    <row r="59" spans="2:29" ht="15">
      <c r="B59" s="17" t="s">
        <v>239</v>
      </c>
      <c r="C59" s="31" t="s">
        <v>198</v>
      </c>
      <c r="D59" s="165">
        <f>K57</f>
        <v>0.88790347748467224</v>
      </c>
      <c r="K59" s="26">
        <f>(F43+SUM(F46:F54))/F33</f>
        <v>694.13224573780121</v>
      </c>
      <c r="L59" s="56">
        <f>(F61+F54+F43)</f>
        <v>8584.5025000000023</v>
      </c>
      <c r="M59" t="s">
        <v>38</v>
      </c>
      <c r="Z59" s="48">
        <f>SUM($X$42:$X$54)/($T$46*$V$9)</f>
        <v>0.92833905796412419</v>
      </c>
      <c r="AB59" s="56">
        <f>(V61+V54+V43)</f>
        <v>65902.502500000002</v>
      </c>
      <c r="AC59" t="s">
        <v>38</v>
      </c>
    </row>
    <row r="60" spans="2:29" ht="15.45">
      <c r="B60" s="17"/>
      <c r="E60" s="17"/>
      <c r="F60" s="9" t="s">
        <v>13</v>
      </c>
      <c r="G60" s="17"/>
      <c r="H60" s="1" t="s">
        <v>31</v>
      </c>
      <c r="L60" s="52">
        <f>(L59/L58)*100</f>
        <v>3.0012892057220144</v>
      </c>
      <c r="M60" t="s">
        <v>37</v>
      </c>
      <c r="R60" s="1"/>
      <c r="S60" s="12"/>
      <c r="T60" s="12"/>
      <c r="U60" s="17"/>
      <c r="V60" s="9" t="s">
        <v>13</v>
      </c>
      <c r="W60" s="17"/>
      <c r="X60" s="1" t="s">
        <v>31</v>
      </c>
      <c r="Z60" s="17"/>
      <c r="AB60" s="52">
        <f>(AB59/AB58)*100</f>
        <v>122.56245387779114</v>
      </c>
      <c r="AC60" t="s">
        <v>37</v>
      </c>
    </row>
    <row r="61" spans="2:29" ht="15.45">
      <c r="B61" s="9" t="s">
        <v>236</v>
      </c>
      <c r="C61" s="12"/>
      <c r="D61" s="12"/>
      <c r="E61" s="9"/>
      <c r="F61" s="212">
        <f>(F36-F55)</f>
        <v>-1415.4974999999977</v>
      </c>
      <c r="G61" s="217"/>
      <c r="H61" s="212">
        <f>(F36-H55)</f>
        <v>-10935.101930629869</v>
      </c>
      <c r="R61" s="9" t="s">
        <v>112</v>
      </c>
      <c r="S61" s="12"/>
      <c r="T61" s="12"/>
      <c r="U61" s="9" t="s">
        <v>46</v>
      </c>
      <c r="V61" s="10">
        <f>(V36-V55)</f>
        <v>65902.502500000002</v>
      </c>
      <c r="W61" s="40"/>
      <c r="X61" s="10">
        <f>(V36-X55)</f>
        <v>63213.975124164652</v>
      </c>
    </row>
    <row r="62" spans="2:29" ht="15.45">
      <c r="B62" s="1"/>
      <c r="C62" s="12"/>
      <c r="D62" s="12"/>
      <c r="E62" s="9"/>
      <c r="F62" s="96"/>
      <c r="G62" s="40"/>
      <c r="H62" s="96"/>
      <c r="L62" s="54"/>
      <c r="R62" s="1"/>
      <c r="S62" s="12"/>
      <c r="T62" s="12"/>
      <c r="U62" s="9"/>
      <c r="V62" s="96"/>
      <c r="W62" s="40"/>
      <c r="X62" s="96"/>
      <c r="AB62" s="54"/>
    </row>
    <row r="63" spans="2:29" ht="15.45">
      <c r="B63" s="1"/>
      <c r="C63" s="12"/>
      <c r="D63" s="12"/>
      <c r="E63" s="9"/>
      <c r="G63" s="220" t="s">
        <v>240</v>
      </c>
      <c r="H63" s="220"/>
      <c r="R63" s="1"/>
      <c r="S63" s="12"/>
      <c r="T63" s="12"/>
      <c r="U63" s="9"/>
      <c r="W63" s="25" t="s">
        <v>36</v>
      </c>
      <c r="X63" s="15"/>
    </row>
    <row r="64" spans="2:29" ht="15.45">
      <c r="B64" s="1"/>
      <c r="C64" s="12"/>
      <c r="D64" s="12"/>
      <c r="E64" s="1"/>
      <c r="F64" s="15"/>
      <c r="G64" s="189" t="s">
        <v>241</v>
      </c>
      <c r="H64" s="190" t="s">
        <v>242</v>
      </c>
      <c r="R64" s="1"/>
      <c r="S64" s="12"/>
      <c r="T64" s="12"/>
      <c r="U64" s="1"/>
      <c r="V64" s="15"/>
      <c r="W64" s="25" t="s">
        <v>33</v>
      </c>
      <c r="X64" s="15" t="s">
        <v>34</v>
      </c>
    </row>
    <row r="65" spans="2:24" ht="15.45">
      <c r="B65" s="1" t="s">
        <v>75</v>
      </c>
      <c r="C65" s="12"/>
      <c r="D65" s="12"/>
      <c r="F65" s="191">
        <f>IF($F$23=0,0,(($F$43+$F$54+$F$61)/((($F$55-$F$43)*0.5+$F$18)*($F$23/365)))*100)</f>
        <v>2.7754265395359097</v>
      </c>
      <c r="G65" s="192">
        <f>IF(F23=0,0,((($L$51+$H$54)/((($H$55-H43)*0.5+$F$18)*($F$23/365)))*100))</f>
        <v>6.125141496221393</v>
      </c>
      <c r="H65" s="192">
        <f>IF($F$23=0,0,(($L$51+$H$54+$H$61)/((($H$55)*0.5+$F$18)*($F$23/365)))*100)</f>
        <v>2.6937683432076396</v>
      </c>
      <c r="R65" s="1" t="s">
        <v>75</v>
      </c>
      <c r="S65" s="12"/>
      <c r="T65" s="12"/>
      <c r="V65" s="51">
        <f>IF($V$23=0,0,(($V$43+$V$54+$V$61)/((($V$55-$V$43)*0.5+$V$18)*($V$23/365)))*100)</f>
        <v>113.33898998954848</v>
      </c>
      <c r="W65" s="46">
        <f>IF(V23=0,0,((($AB$51+$X$54)/((($X$55-X43)*0.5+$V$18)*($V$23/365)))*100))</f>
        <v>4.4223287969564078</v>
      </c>
      <c r="X65" s="46">
        <f>IF($V$23=0,0,(($AB$51+$X$54+$X$61)/((($X$55)*0.5+$V$18)*($V$23/365)))*100)</f>
        <v>108.40229384187947</v>
      </c>
    </row>
    <row r="66" spans="2:24" ht="15.45">
      <c r="B66" s="1"/>
      <c r="C66" s="12"/>
      <c r="D66" s="12"/>
      <c r="G66" s="53"/>
      <c r="R66" s="1"/>
      <c r="S66" s="12"/>
      <c r="T66" s="12"/>
      <c r="W66" s="53"/>
    </row>
    <row r="67" spans="2:24" ht="15">
      <c r="B67" s="11" t="s">
        <v>7</v>
      </c>
      <c r="C67" s="11"/>
      <c r="D67" s="49"/>
      <c r="E67" s="11"/>
      <c r="F67" s="36"/>
      <c r="G67" s="36"/>
      <c r="H67" s="36"/>
      <c r="R67" s="11" t="s">
        <v>7</v>
      </c>
      <c r="S67" s="11"/>
      <c r="T67" s="49"/>
      <c r="U67" s="11"/>
      <c r="V67" s="36"/>
      <c r="W67" s="36"/>
      <c r="X67" s="36"/>
    </row>
    <row r="68" spans="2:24">
      <c r="B68" t="s">
        <v>76</v>
      </c>
      <c r="F68" s="16"/>
      <c r="R68" t="s">
        <v>76</v>
      </c>
      <c r="V68" s="16"/>
    </row>
    <row r="69" spans="2:24">
      <c r="B69" t="s">
        <v>77</v>
      </c>
      <c r="F69" s="16"/>
      <c r="R69" t="s">
        <v>77</v>
      </c>
      <c r="V69" s="16"/>
    </row>
    <row r="70" spans="2:24">
      <c r="B70" s="28"/>
      <c r="F70" s="16"/>
    </row>
    <row r="71" spans="2:24" ht="15">
      <c r="B71" s="17"/>
      <c r="F71" s="16"/>
    </row>
    <row r="72" spans="2:24" ht="15">
      <c r="B72" s="17"/>
      <c r="F72" s="16"/>
    </row>
    <row r="73" spans="2:24" ht="15">
      <c r="B73" s="17"/>
      <c r="C73" s="17"/>
      <c r="F73" s="16"/>
    </row>
    <row r="75" spans="2:24" ht="15">
      <c r="C75" s="17"/>
    </row>
    <row r="76" spans="2:24">
      <c r="C76" s="26"/>
      <c r="H76" s="27"/>
    </row>
    <row r="77" spans="2:24">
      <c r="C77" s="26"/>
    </row>
    <row r="78" spans="2:24">
      <c r="C78" s="26"/>
      <c r="H78" s="27"/>
    </row>
    <row r="79" spans="2:24">
      <c r="C79" s="26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90" spans="3:3">
      <c r="C90" s="29"/>
    </row>
  </sheetData>
  <sheetProtection sheet="1" objects="1" scenarios="1"/>
  <mergeCells count="3">
    <mergeCell ref="B1:H1"/>
    <mergeCell ref="R1:X1"/>
    <mergeCell ref="G63:H63"/>
  </mergeCells>
  <phoneticPr fontId="0" type="noConversion"/>
  <printOptions horizontalCentered="1"/>
  <pageMargins left="0.75" right="0.75" top="0.75" bottom="0.75" header="0.5" footer="0.5"/>
  <pageSetup scale="66" orientation="portrait" horizontalDpi="4294967292" r:id="rId1"/>
  <headerFooter alignWithMargins="0">
    <oddFooter>&amp;L &amp;F&amp;R&amp;A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S31"/>
  <sheetViews>
    <sheetView topLeftCell="A11" zoomScaleNormal="100" workbookViewId="0">
      <selection activeCell="D33" sqref="D33"/>
    </sheetView>
  </sheetViews>
  <sheetFormatPr defaultRowHeight="12.45"/>
  <cols>
    <col min="1" max="1" width="6.53515625" customWidth="1"/>
    <col min="2" max="2" width="51.69140625" customWidth="1"/>
    <col min="3" max="3" width="11.4609375" customWidth="1"/>
    <col min="4" max="4" width="3.23046875" customWidth="1"/>
    <col min="5" max="9" width="12.69140625" customWidth="1"/>
    <col min="10" max="10" width="21.23046875" customWidth="1"/>
    <col min="11" max="11" width="13.53515625" customWidth="1"/>
    <col min="13" max="13" width="12.23046875" customWidth="1"/>
    <col min="14" max="14" width="13.23046875" customWidth="1"/>
    <col min="15" max="15" width="12" customWidth="1"/>
    <col min="16" max="16" width="14.4609375" customWidth="1"/>
    <col min="18" max="18" width="11.4609375" customWidth="1"/>
    <col min="19" max="19" width="11.23046875" customWidth="1"/>
    <col min="20" max="20" width="15.4609375" customWidth="1"/>
  </cols>
  <sheetData>
    <row r="1" spans="2:19" ht="17.600000000000001">
      <c r="B1" s="218" t="s">
        <v>191</v>
      </c>
      <c r="C1" s="218"/>
      <c r="D1" s="218"/>
      <c r="E1" s="218"/>
      <c r="F1" s="218"/>
      <c r="G1" s="218"/>
      <c r="H1" s="218"/>
      <c r="I1" s="218"/>
    </row>
    <row r="2" spans="2:19" ht="15">
      <c r="B2" s="17"/>
      <c r="C2" s="78"/>
      <c r="D2" s="17"/>
      <c r="E2" s="76"/>
    </row>
    <row r="3" spans="2:19" ht="15">
      <c r="B3" s="17"/>
      <c r="C3" s="78"/>
      <c r="D3" s="17"/>
      <c r="E3" s="76"/>
    </row>
    <row r="4" spans="2:19" ht="15">
      <c r="B4" s="76" t="s">
        <v>110</v>
      </c>
      <c r="C4" s="78"/>
      <c r="D4" s="17"/>
    </row>
    <row r="5" spans="2:19" ht="15.45">
      <c r="C5" s="79"/>
      <c r="D5" s="17"/>
      <c r="E5" s="76"/>
      <c r="G5" s="24"/>
      <c r="I5" s="80"/>
    </row>
    <row r="6" spans="2:19" ht="15.45">
      <c r="C6" s="79"/>
      <c r="D6" s="17"/>
      <c r="E6" s="76"/>
      <c r="G6" s="24"/>
      <c r="I6" s="80"/>
    </row>
    <row r="7" spans="2:19" ht="15.45">
      <c r="B7" s="76" t="str">
        <f>'2. Bred Heifer Budget'!B54</f>
        <v>Target Net Financial Margin Per Head Objective</v>
      </c>
      <c r="C7" s="23" t="s">
        <v>6</v>
      </c>
      <c r="D7" s="17"/>
      <c r="E7" s="92">
        <f>'2. Bred Heifer Budget'!E54</f>
        <v>100</v>
      </c>
      <c r="F7" s="17"/>
      <c r="G7" s="17"/>
      <c r="I7" s="17"/>
    </row>
    <row r="8" spans="2:19" ht="15">
      <c r="B8" s="76"/>
      <c r="C8" s="78"/>
      <c r="D8" s="17"/>
      <c r="E8" s="17"/>
      <c r="F8" s="17"/>
      <c r="G8" s="17"/>
      <c r="H8" s="17"/>
      <c r="I8" s="17"/>
    </row>
    <row r="9" spans="2:19" ht="15">
      <c r="D9" s="17"/>
      <c r="E9" s="17"/>
      <c r="F9" s="17"/>
      <c r="G9" s="17"/>
      <c r="H9" s="17"/>
      <c r="I9" s="17"/>
      <c r="K9" s="43">
        <f>('2. Bred Heifer Budget'!$G$41*('2. Bred Heifer Budget'!$F$23/365))</f>
        <v>9.8493150684931514</v>
      </c>
      <c r="L9" t="s">
        <v>63</v>
      </c>
    </row>
    <row r="10" spans="2:19" ht="15">
      <c r="B10" s="17"/>
      <c r="C10" s="17"/>
      <c r="D10" s="17"/>
      <c r="E10" s="221" t="s">
        <v>165</v>
      </c>
      <c r="F10" s="221"/>
      <c r="G10" s="221"/>
      <c r="H10" s="221"/>
      <c r="I10" s="221"/>
      <c r="K10" t="s">
        <v>51</v>
      </c>
      <c r="N10" t="s">
        <v>54</v>
      </c>
      <c r="Q10" s="26">
        <f>C23</f>
        <v>650</v>
      </c>
      <c r="R10" s="45">
        <f>($Q10*'2. Bred Heifer Budget'!$F$9)*(('2. Bred Heifer Budget'!$D$46/365)*'2. Bred Heifer Budget'!$G$41*0.01)</f>
        <v>5920.2667808219176</v>
      </c>
      <c r="S10" s="27">
        <f>($R10*'2. Bred Heifer Budget'!$E$41*0.01)+$N$11</f>
        <v>0</v>
      </c>
    </row>
    <row r="11" spans="2:19" ht="15">
      <c r="B11" s="76" t="s">
        <v>48</v>
      </c>
      <c r="C11" s="17"/>
      <c r="D11" s="17"/>
      <c r="E11" s="221" t="s">
        <v>100</v>
      </c>
      <c r="F11" s="221"/>
      <c r="G11" s="221"/>
      <c r="H11" s="221"/>
      <c r="I11" s="221"/>
      <c r="K11" s="45">
        <f>((SUM('2. Bred Heifer Budget'!$F$45:$F$51)*0.5*(('2. Bred Heifer Budget'!$D$46/365)*'2. Bred Heifer Budget'!$G$41*0.01)))</f>
        <v>2582.9644650819346</v>
      </c>
      <c r="L11" t="s">
        <v>52</v>
      </c>
      <c r="N11" s="27">
        <f>('2. Bred Heifer Budget'!$L$44*'2. Bred Heifer Budget'!$E$41*0.01)</f>
        <v>0</v>
      </c>
      <c r="Q11" s="26">
        <f>C24</f>
        <v>750</v>
      </c>
      <c r="R11" s="45">
        <f>($Q11*'2. Bred Heifer Budget'!$F$9*(('2. Bred Heifer Budget'!$D$46/365)*'2. Bred Heifer Budget'!$G$41*0.01))</f>
        <v>6831.0770547945203</v>
      </c>
      <c r="S11" s="27">
        <f>($R11*'2. Bred Heifer Budget'!$E$41*0.01)+$N$11</f>
        <v>0</v>
      </c>
    </row>
    <row r="12" spans="2:19" ht="15">
      <c r="B12" s="17"/>
      <c r="C12" s="23" t="s">
        <v>6</v>
      </c>
      <c r="D12" s="17"/>
      <c r="E12" s="17"/>
      <c r="F12" s="17"/>
      <c r="G12" s="17"/>
      <c r="H12" s="81" t="s">
        <v>49</v>
      </c>
      <c r="I12" s="17"/>
      <c r="Q12" s="26">
        <f>C25</f>
        <v>850</v>
      </c>
      <c r="R12" s="45">
        <f>($Q12*'2. Bred Heifer Budget'!$F$9)*(('2. Bred Heifer Budget'!$D$46/365)*'2. Bred Heifer Budget'!$G$41*0.01)</f>
        <v>7741.8873287671231</v>
      </c>
      <c r="S12" s="27">
        <f>($R12*'2. Bred Heifer Budget'!$E$41*0.01)+$N$11</f>
        <v>0</v>
      </c>
    </row>
    <row r="13" spans="2:19" ht="15">
      <c r="B13" s="76" t="s">
        <v>99</v>
      </c>
      <c r="C13" s="33">
        <v>50</v>
      </c>
      <c r="D13" s="82"/>
      <c r="E13" s="221" t="s">
        <v>67</v>
      </c>
      <c r="F13" s="221"/>
      <c r="G13" s="221"/>
      <c r="H13" s="221"/>
      <c r="I13" s="221"/>
      <c r="K13" s="45">
        <f>('2. Bred Heifer Budget'!$F$16*'2. Bred Heifer Budget'!$F$9)*(('2. Bred Heifer Budget'!$D$46/365)*'2. Bred Heifer Budget'!$G$41*0.01)</f>
        <v>7741.8873287671231</v>
      </c>
      <c r="L13" t="s">
        <v>27</v>
      </c>
      <c r="N13" s="27">
        <f>('2. Bred Heifer Budget'!$L$46*'2. Bred Heifer Budget'!$E$41*0.01)</f>
        <v>0</v>
      </c>
      <c r="Q13" s="26">
        <f>C26</f>
        <v>950</v>
      </c>
      <c r="R13" s="45">
        <f>($Q13*'2. Bred Heifer Budget'!$F$9)*(('2. Bred Heifer Budget'!$D$46/365)*'2. Bred Heifer Budget'!$G$41*0.01)</f>
        <v>8652.6976027397268</v>
      </c>
      <c r="S13" s="27">
        <f>($R13*'2. Bred Heifer Budget'!$E$41*0.01)+$N$11</f>
        <v>0</v>
      </c>
    </row>
    <row r="14" spans="2:19" ht="15">
      <c r="B14" s="76" t="s">
        <v>88</v>
      </c>
      <c r="C14" s="33">
        <v>100</v>
      </c>
      <c r="D14" s="17"/>
      <c r="E14" s="36" t="s">
        <v>7</v>
      </c>
      <c r="F14" s="36"/>
      <c r="G14" s="36"/>
      <c r="H14" s="36"/>
      <c r="I14" s="36"/>
      <c r="Q14" s="26">
        <f>C27</f>
        <v>1050</v>
      </c>
      <c r="R14" s="45">
        <f>($Q14*'2. Bred Heifer Budget'!$F$9)*(('2. Bred Heifer Budget'!$D$46/365)*'2. Bred Heifer Budget'!$G$41*0.01)</f>
        <v>9563.5078767123287</v>
      </c>
      <c r="S14" s="27">
        <f>($R14*'2. Bred Heifer Budget'!$E$41*0.01)+$N$11</f>
        <v>0</v>
      </c>
    </row>
    <row r="15" spans="2:19" ht="15">
      <c r="B15" s="17"/>
      <c r="C15" s="17"/>
      <c r="D15" s="17"/>
      <c r="E15" s="221" t="s">
        <v>65</v>
      </c>
      <c r="F15" s="221"/>
      <c r="G15" s="23" t="s">
        <v>50</v>
      </c>
      <c r="H15" s="221" t="s">
        <v>66</v>
      </c>
      <c r="I15" s="221"/>
      <c r="K15" s="44">
        <f>(M19+K13)</f>
        <v>10325.990306691523</v>
      </c>
      <c r="L15" t="s">
        <v>53</v>
      </c>
      <c r="N15" s="44">
        <f>(N11+N13)</f>
        <v>0</v>
      </c>
      <c r="Q15" s="26"/>
    </row>
    <row r="16" spans="2:19" ht="15.45">
      <c r="B16" s="90" t="s">
        <v>90</v>
      </c>
      <c r="C16" s="23" t="s">
        <v>6</v>
      </c>
      <c r="D16" s="17"/>
      <c r="E16" s="193"/>
      <c r="F16" s="193"/>
      <c r="G16" s="174">
        <f>'2. Bred Heifer Budget'!K59</f>
        <v>694.13224573780121</v>
      </c>
      <c r="H16" s="193"/>
      <c r="I16" s="193"/>
      <c r="L16" t="s">
        <v>64</v>
      </c>
      <c r="N16" t="s">
        <v>56</v>
      </c>
      <c r="O16" t="s">
        <v>58</v>
      </c>
      <c r="P16" t="s">
        <v>61</v>
      </c>
    </row>
    <row r="17" spans="2:16" ht="15">
      <c r="B17" s="76" t="s">
        <v>89</v>
      </c>
      <c r="C17" s="23" t="s">
        <v>6</v>
      </c>
      <c r="D17" s="17"/>
      <c r="E17" s="127">
        <f>C13*2*-1</f>
        <v>-100</v>
      </c>
      <c r="F17" s="127">
        <f>C13*-1</f>
        <v>-50</v>
      </c>
      <c r="G17" s="127"/>
      <c r="H17" s="127">
        <f>C13*1</f>
        <v>50</v>
      </c>
      <c r="I17" s="127">
        <f>C13*2</f>
        <v>100</v>
      </c>
      <c r="L17" t="s">
        <v>62</v>
      </c>
      <c r="M17" t="s">
        <v>57</v>
      </c>
      <c r="N17" t="s">
        <v>60</v>
      </c>
      <c r="O17" s="28" t="s">
        <v>57</v>
      </c>
      <c r="P17" s="28" t="s">
        <v>56</v>
      </c>
    </row>
    <row r="18" spans="2:16" ht="15">
      <c r="B18" s="76"/>
      <c r="C18" s="23" t="s">
        <v>190</v>
      </c>
      <c r="D18" s="17"/>
      <c r="E18" s="194">
        <f>E17/'2. Bred Heifer Budget'!$D$46</f>
        <v>-0.15040047887512475</v>
      </c>
      <c r="F18" s="194">
        <f>F17/'2. Bred Heifer Budget'!$D$46</f>
        <v>-7.5200239437562377E-2</v>
      </c>
      <c r="G18" s="194"/>
      <c r="H18" s="194">
        <f>H17/'2. Bred Heifer Budget'!$D$46</f>
        <v>7.5200239437562377E-2</v>
      </c>
      <c r="I18" s="194">
        <f>I17/'2. Bred Heifer Budget'!$D$46</f>
        <v>0.15040047887512475</v>
      </c>
      <c r="O18" s="28"/>
      <c r="P18" s="28"/>
    </row>
    <row r="19" spans="2:16" ht="15">
      <c r="B19" s="76" t="s">
        <v>116</v>
      </c>
      <c r="C19" s="23" t="s">
        <v>6</v>
      </c>
      <c r="D19" s="17"/>
      <c r="E19" s="153">
        <f>($G$19+E17)</f>
        <v>594.13224573780121</v>
      </c>
      <c r="F19" s="153">
        <f>($G$19+F17)</f>
        <v>644.13224573780121</v>
      </c>
      <c r="G19" s="153">
        <f>G16</f>
        <v>694.13224573780121</v>
      </c>
      <c r="H19" s="153">
        <f>($G$19+H17)</f>
        <v>744.13224573780121</v>
      </c>
      <c r="I19" s="153">
        <f>($G$19+I17)</f>
        <v>794.13224573780121</v>
      </c>
      <c r="L19" s="89">
        <f>H17</f>
        <v>50</v>
      </c>
      <c r="M19" s="45">
        <f>((SUM('2. Bred Heifer Budget'!$F$45:$F$51)+N19)*0.5*(('2. Bred Heifer Budget'!$D$46/365)*'2. Bred Heifer Budget'!$G$41*0.01))</f>
        <v>2584.1029779244004</v>
      </c>
      <c r="N19" s="44">
        <f>($C$13*0.5)</f>
        <v>25</v>
      </c>
      <c r="O19" s="27">
        <f>M19-$K$11</f>
        <v>1.1385128424658433</v>
      </c>
      <c r="P19" s="88">
        <f>(C13+O19)*'2. Bred Heifer Budget'!F33</f>
        <v>4349.3305172517203</v>
      </c>
    </row>
    <row r="20" spans="2:16">
      <c r="E20" s="93"/>
      <c r="F20" s="93"/>
      <c r="G20" s="93"/>
      <c r="H20" s="93"/>
      <c r="I20" s="93"/>
      <c r="L20" s="89"/>
      <c r="N20" s="44"/>
    </row>
    <row r="21" spans="2:16" ht="15">
      <c r="B21" s="17"/>
      <c r="C21" s="17"/>
      <c r="D21" s="17"/>
      <c r="E21" s="222" t="s">
        <v>164</v>
      </c>
      <c r="F21" s="222"/>
      <c r="G21" s="222"/>
      <c r="H21" s="222"/>
      <c r="I21" s="222"/>
      <c r="L21" s="89">
        <f>I17</f>
        <v>100</v>
      </c>
      <c r="M21" s="45">
        <f>((SUM('2. Bred Heifer Budget'!$F$45:$F$51)+N21)*0.5*(('2. Bred Heifer Budget'!$D$46/365)*'2. Bred Heifer Budget'!$G$41*0.01))</f>
        <v>2585.2414907668663</v>
      </c>
      <c r="N21" s="44">
        <f>($I$17*0.5)</f>
        <v>50</v>
      </c>
      <c r="O21" s="27">
        <f>M21-$K$11</f>
        <v>2.2770256849316866</v>
      </c>
      <c r="P21" s="88">
        <f>(I17+O21)*'2. Bred Heifer Budget'!F33</f>
        <v>8698.6610345034405</v>
      </c>
    </row>
    <row r="22" spans="2:16" ht="15">
      <c r="B22" s="17"/>
      <c r="C22" s="23" t="s">
        <v>87</v>
      </c>
      <c r="D22" s="17"/>
      <c r="E22" s="94" t="s">
        <v>7</v>
      </c>
      <c r="F22" s="94"/>
      <c r="G22" s="94"/>
      <c r="H22" s="94"/>
      <c r="I22" s="94"/>
      <c r="L22" s="89"/>
    </row>
    <row r="23" spans="2:16" ht="15">
      <c r="B23" s="17"/>
      <c r="C23" s="153">
        <f>C25-2*C14</f>
        <v>650</v>
      </c>
      <c r="D23" s="17"/>
      <c r="E23" s="95">
        <f>($C23*'2. Bred Heifer Budget'!$F$9+SUM('2. Bred Heifer Budget'!$F$45:$F$54)+$S10+$P$25+'2. Bred Heifer Budget'!$F$32*'2. Bred Heifer Budget'!$F$33)/(1-('2. Bred Heifer Budget'!$E$31*0.01))/'2. Bred Heifer Budget'!$F$33</f>
        <v>1384.807693739536</v>
      </c>
      <c r="F23" s="95">
        <f>($C23*'2. Bred Heifer Budget'!$F$9+SUM('2. Bred Heifer Budget'!$F$45:$F$54)+$S10+$P$23+'2. Bred Heifer Budget'!$F$32*'2. Bred Heifer Budget'!$F$33)/(1-('2. Bred Heifer Budget'!$E$31*0.01))/'2. Bred Heifer Budget'!$F$33</f>
        <v>1436.9898497012357</v>
      </c>
      <c r="G23" s="95">
        <f>($C23*'2. Bred Heifer Budget'!$F$9+SUM('2. Bred Heifer Budget'!$F$45:$F$54)+$S10+'2. Bred Heifer Budget'!$F$32*'2. Bred Heifer Budget'!$F$33)/(1-('2. Bred Heifer Budget'!$E$31*0.01))/'2. Bred Heifer Budget'!$F$33</f>
        <v>1489.1720056629351</v>
      </c>
      <c r="H23" s="95">
        <f>($C23*'2. Bred Heifer Budget'!F$9+SUM('2. Bred Heifer Budget'!$F$45:$F$54)+$S10+$P$19+'2. Bred Heifer Budget'!$F$32*'2. Bred Heifer Budget'!$F$33)/(1-('2. Bred Heifer Budget'!$E$31*0.01))/'2. Bred Heifer Budget'!$F$33</f>
        <v>1541.354161624635</v>
      </c>
      <c r="I23" s="95">
        <f>($C23*'2. Bred Heifer Budget'!$F$9+SUM('2. Bred Heifer Budget'!$F$45:$F$54)+$S10+$P$21+'2. Bred Heifer Budget'!$F$32*'2. Bred Heifer Budget'!$F$33)/(1-('2. Bred Heifer Budget'!$E$31*0.01))/'2. Bred Heifer Budget'!$F$33</f>
        <v>1593.5363175863347</v>
      </c>
      <c r="L23" s="89">
        <f>F17</f>
        <v>-50</v>
      </c>
      <c r="M23" s="45">
        <f>((SUM('2. Bred Heifer Budget'!$F$45:$F$51)+N23)*0.5*(('2. Bred Heifer Budget'!$D$46/365)*'2. Bred Heifer Budget'!$G$41*0.01))</f>
        <v>2581.8259522394692</v>
      </c>
      <c r="N23" s="44">
        <f>($F$17*0.5)</f>
        <v>-25</v>
      </c>
      <c r="O23" s="27">
        <f>M23-$K$11</f>
        <v>-1.1385128424653885</v>
      </c>
      <c r="P23" s="88">
        <f>(F17+O23)*'2. Bred Heifer Budget'!$F$33</f>
        <v>-4349.3305172516812</v>
      </c>
    </row>
    <row r="24" spans="2:16" ht="15">
      <c r="B24" s="17"/>
      <c r="C24" s="153">
        <f>(C25-C14)</f>
        <v>750</v>
      </c>
      <c r="D24" s="17"/>
      <c r="E24" s="95">
        <f>($C24*'2. Bred Heifer Budget'!$F$9+SUM('2. Bred Heifer Budget'!$F$45:$F$54)+$S11+$P$25+'2. Bred Heifer Budget'!$F$32*'2. Bred Heifer Budget'!$F$33)/(1-('2. Bred Heifer Budget'!$E$31*0.01))/'2. Bred Heifer Budget'!$F$33</f>
        <v>1504.7851379800188</v>
      </c>
      <c r="F24" s="95">
        <f>($C24*'2. Bred Heifer Budget'!$F$9+SUM('2. Bred Heifer Budget'!$F$45:$F$54)+$S11+$P$23+'2. Bred Heifer Budget'!$F$32*'2. Bred Heifer Budget'!$F$33)/(1-('2. Bred Heifer Budget'!$E$31*0.01))/'2. Bred Heifer Budget'!$F$33</f>
        <v>1556.9672939417187</v>
      </c>
      <c r="G24" s="95">
        <f>($C24*'2. Bred Heifer Budget'!$F$9+SUM('2. Bred Heifer Budget'!$F$45:$F$54)+$S11+'2. Bred Heifer Budget'!$F$32*'2. Bred Heifer Budget'!$F$33)/(1-('2. Bred Heifer Budget'!$E$31*0.01))/'2. Bred Heifer Budget'!$F$33</f>
        <v>1609.1494499034179</v>
      </c>
      <c r="H24" s="95">
        <f>($C24*'2. Bred Heifer Budget'!F$9+SUM('2. Bred Heifer Budget'!$F$45:$F$54)+$S11+$P$19+'2. Bred Heifer Budget'!$F$32*'2. Bred Heifer Budget'!$F$33)/(1-('2. Bred Heifer Budget'!$E$31*0.01))/'2. Bred Heifer Budget'!$F$33</f>
        <v>1661.3316058651176</v>
      </c>
      <c r="I24" s="95">
        <f>($C24*'2. Bred Heifer Budget'!$F$9+SUM('2. Bred Heifer Budget'!$F$45:$F$54)+$S11+$P$21+'2. Bred Heifer Budget'!$F$32*'2. Bred Heifer Budget'!$F$33)/(1-('2. Bred Heifer Budget'!$E$31*0.01))/'2. Bred Heifer Budget'!$F$33</f>
        <v>1713.5137618268172</v>
      </c>
      <c r="L24" s="89"/>
    </row>
    <row r="25" spans="2:16" ht="15">
      <c r="B25" s="76" t="s">
        <v>243</v>
      </c>
      <c r="C25" s="195">
        <f>('2. Bred Heifer Budget'!F16)</f>
        <v>850</v>
      </c>
      <c r="D25" s="17"/>
      <c r="E25" s="95">
        <f>($C25*'2. Bred Heifer Budget'!$F$9+SUM('2. Bred Heifer Budget'!$F$45:$F$54)+$S12+$P$25+'2. Bred Heifer Budget'!$F$32*'2. Bred Heifer Budget'!$F$33)/(1-('2. Bred Heifer Budget'!$E$31*0.01))/'2. Bred Heifer Budget'!$F$33</f>
        <v>1624.7625822205016</v>
      </c>
      <c r="F25" s="95">
        <f>($C25*'2. Bred Heifer Budget'!$F$9+SUM('2. Bred Heifer Budget'!$F$45:$F$54)+$S12+$P$23+'2. Bred Heifer Budget'!$F$32*'2. Bred Heifer Budget'!$F$33)/(1-('2. Bred Heifer Budget'!$E$31*0.01))/'2. Bred Heifer Budget'!$F$33</f>
        <v>1676.9447381822013</v>
      </c>
      <c r="G25" s="95">
        <f>($C25*'2. Bred Heifer Budget'!$F$9+SUM('2. Bred Heifer Budget'!$F$45:$F$54)+$S12+'2. Bred Heifer Budget'!$F$32*'2. Bred Heifer Budget'!$F$33)/(1-('2. Bred Heifer Budget'!$E$31*0.01))/'2. Bred Heifer Budget'!$F$33</f>
        <v>1729.1268941439007</v>
      </c>
      <c r="H25" s="95">
        <f>($C25*'2. Bred Heifer Budget'!F$9+SUM('2. Bred Heifer Budget'!$F$45:$F$54)+$S12+$P$19+'2. Bred Heifer Budget'!$F$32*'2. Bred Heifer Budget'!$F$33)/(1-('2. Bred Heifer Budget'!$E$31*0.01))/'2. Bred Heifer Budget'!$F$33</f>
        <v>1781.3090501056006</v>
      </c>
      <c r="I25" s="95">
        <f>($C25*'2. Bred Heifer Budget'!$F$9+SUM('2. Bred Heifer Budget'!$F$45:$F$54)+$S12+$P$21+'2. Bred Heifer Budget'!$F$32*'2. Bred Heifer Budget'!$F$33)/(1-('2. Bred Heifer Budget'!$E$31*0.01))/'2. Bred Heifer Budget'!$F$33</f>
        <v>1833.4912060673003</v>
      </c>
      <c r="L25" s="89">
        <f>E17</f>
        <v>-100</v>
      </c>
      <c r="M25" s="45">
        <f>((SUM('2. Bred Heifer Budget'!$F$45:$F$51)+N25)*0.5*(('2. Bred Heifer Budget'!$D$46/365)*'2. Bred Heifer Budget'!$G$41*0.01))</f>
        <v>2580.6874393970033</v>
      </c>
      <c r="N25" s="44">
        <f>($E$17*0.5)</f>
        <v>-50</v>
      </c>
      <c r="O25" s="27">
        <f>M25-$K$11</f>
        <v>-2.2770256849312318</v>
      </c>
      <c r="P25" s="88">
        <f>(E17+O25)*'2. Bred Heifer Budget'!F33</f>
        <v>-8698.6610345034005</v>
      </c>
    </row>
    <row r="26" spans="2:16" ht="15">
      <c r="B26" s="17"/>
      <c r="C26" s="153">
        <f>C25+C14</f>
        <v>950</v>
      </c>
      <c r="D26" s="17"/>
      <c r="E26" s="95">
        <f>($C26*'2. Bred Heifer Budget'!$F$9+SUM('2. Bred Heifer Budget'!$F$45:$F$54)+$S13+$P$25+'2. Bred Heifer Budget'!$F$32*'2. Bred Heifer Budget'!$F$33)/(1-('2. Bred Heifer Budget'!$E$31*0.01))/'2. Bred Heifer Budget'!$F$33</f>
        <v>1744.7400264609842</v>
      </c>
      <c r="F26" s="95">
        <f>($C26*'2. Bred Heifer Budget'!$F$9+SUM('2. Bred Heifer Budget'!$F$45:$F$54)+$S13+$P$23+'2. Bred Heifer Budget'!$F$32*'2. Bred Heifer Budget'!$F$33)/(1-('2. Bred Heifer Budget'!$E$31*0.01))/'2. Bred Heifer Budget'!$F$33</f>
        <v>1796.922182422684</v>
      </c>
      <c r="G26" s="95">
        <f>($C26*'2. Bred Heifer Budget'!$F$9+SUM('2. Bred Heifer Budget'!$F$45:$F$54)+$S13+'2. Bred Heifer Budget'!$F$32*'2. Bred Heifer Budget'!$F$33)/(1-('2. Bred Heifer Budget'!$E$31*0.01))/'2. Bred Heifer Budget'!$F$33</f>
        <v>1849.1043383843835</v>
      </c>
      <c r="H26" s="95">
        <f>($C26*'2. Bred Heifer Budget'!F$9+SUM('2. Bred Heifer Budget'!$F$45:$F$54)+$S13+$P$19+'2. Bred Heifer Budget'!$F$32*'2. Bred Heifer Budget'!$F$33)/(1-('2. Bred Heifer Budget'!$E$31*0.01))/'2. Bred Heifer Budget'!$F$33</f>
        <v>1901.2864943460831</v>
      </c>
      <c r="I26" s="95">
        <f>($C26*'2. Bred Heifer Budget'!$F$9+SUM('2. Bred Heifer Budget'!$F$45:$F$54)+$S13+$P$21+'2. Bred Heifer Budget'!$F$32*'2. Bred Heifer Budget'!$F$33)/(1-('2. Bred Heifer Budget'!$E$31*0.01))/'2. Bred Heifer Budget'!$F$33</f>
        <v>1953.468650307783</v>
      </c>
    </row>
    <row r="27" spans="2:16" ht="15">
      <c r="B27" s="17"/>
      <c r="C27" s="153">
        <f>C25+2*C14</f>
        <v>1050</v>
      </c>
      <c r="D27" s="17"/>
      <c r="E27" s="95">
        <f>($C27*'2. Bred Heifer Budget'!$F$9+SUM('2. Bred Heifer Budget'!$F$45:$F$54)+$S14+$P$25+'2. Bred Heifer Budget'!$F$32*'2. Bred Heifer Budget'!$F$33)/(1-('2. Bred Heifer Budget'!$E$31*0.01))/'2. Bred Heifer Budget'!$F$33</f>
        <v>1864.7174707014672</v>
      </c>
      <c r="F27" s="95">
        <f>($C27*'2. Bred Heifer Budget'!$F$9+SUM('2. Bred Heifer Budget'!$F$45:$F$54)+$S14+$P$23+'2. Bred Heifer Budget'!$F$32*'2. Bred Heifer Budget'!$F$33)/(1-('2. Bred Heifer Budget'!$E$31*0.01))/'2. Bred Heifer Budget'!$F$33</f>
        <v>1916.8996266631671</v>
      </c>
      <c r="G27" s="95">
        <f>($C27*'2. Bred Heifer Budget'!$F$9+SUM('2. Bred Heifer Budget'!$F$45:$F$54)+$S14+'2. Bred Heifer Budget'!$F$32*'2. Bred Heifer Budget'!$F$33)/(1-('2. Bred Heifer Budget'!$E$31*0.01))/'2. Bred Heifer Budget'!$F$33</f>
        <v>1969.0817826248665</v>
      </c>
      <c r="H27" s="95">
        <f>($C27*'2. Bred Heifer Budget'!F$9+SUM('2. Bred Heifer Budget'!$F$45:$F$54)+$S14+$P$19+'2. Bred Heifer Budget'!$F$32*'2. Bred Heifer Budget'!$F$33)/(1-('2. Bred Heifer Budget'!$E$31*0.01))/'2. Bred Heifer Budget'!$F$33</f>
        <v>2021.2639385865662</v>
      </c>
      <c r="I27" s="95">
        <f>($C27*'2. Bred Heifer Budget'!$F$9+SUM('2. Bred Heifer Budget'!$F$45:$F$54)+$S14+$P$21+'2. Bred Heifer Budget'!$F$32*'2. Bred Heifer Budget'!$F$33)/(1-('2. Bred Heifer Budget'!$E$31*0.01))/'2. Bred Heifer Budget'!$F$33</f>
        <v>2073.446094548266</v>
      </c>
    </row>
    <row r="28" spans="2:16" ht="15">
      <c r="B28" s="17"/>
      <c r="C28" s="17"/>
      <c r="D28" s="17"/>
      <c r="E28" s="36"/>
      <c r="F28" s="36"/>
      <c r="G28" s="36"/>
      <c r="H28" s="36"/>
      <c r="I28" s="36"/>
    </row>
    <row r="29" spans="2:16">
      <c r="B29" s="85" t="s">
        <v>7</v>
      </c>
      <c r="C29" s="85"/>
      <c r="D29" s="85"/>
      <c r="E29" s="85"/>
      <c r="F29" s="85"/>
      <c r="G29" s="85"/>
      <c r="H29" s="85"/>
      <c r="I29" s="85"/>
    </row>
    <row r="30" spans="2:16" ht="15">
      <c r="B30" s="17" t="s">
        <v>98</v>
      </c>
    </row>
    <row r="31" spans="2:16" ht="15">
      <c r="B31" s="17"/>
    </row>
  </sheetData>
  <sheetProtection sheet="1" objects="1" scenarios="1"/>
  <mergeCells count="7">
    <mergeCell ref="E15:F15"/>
    <mergeCell ref="H15:I15"/>
    <mergeCell ref="E21:I21"/>
    <mergeCell ref="B1:I1"/>
    <mergeCell ref="E11:I11"/>
    <mergeCell ref="E10:I10"/>
    <mergeCell ref="E13:I13"/>
  </mergeCells>
  <phoneticPr fontId="0" type="noConversion"/>
  <printOptions horizontalCentered="1"/>
  <pageMargins left="0.75" right="0.75" top="0.75" bottom="0.75" header="0.5" footer="0.5"/>
  <pageSetup scale="69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:AC90"/>
  <sheetViews>
    <sheetView topLeftCell="A7" zoomScaleNormal="100" workbookViewId="0">
      <selection activeCell="A10" sqref="A10"/>
    </sheetView>
  </sheetViews>
  <sheetFormatPr defaultRowHeight="12.45"/>
  <cols>
    <col min="1" max="1" width="6.23046875" customWidth="1"/>
    <col min="2" max="2" width="53.69140625" customWidth="1"/>
    <col min="3" max="3" width="12.69140625" customWidth="1"/>
    <col min="4" max="4" width="10.69140625" customWidth="1"/>
    <col min="5" max="5" width="12.53515625" customWidth="1"/>
    <col min="6" max="6" width="13.4609375" customWidth="1"/>
    <col min="7" max="7" width="12.53515625" customWidth="1"/>
    <col min="8" max="8" width="13.69140625" customWidth="1"/>
    <col min="12" max="12" width="11.69140625" customWidth="1"/>
    <col min="18" max="18" width="47.69140625" customWidth="1"/>
    <col min="21" max="21" width="10.53515625" customWidth="1"/>
    <col min="22" max="22" width="15.23046875" customWidth="1"/>
    <col min="24" max="24" width="13.23046875" customWidth="1"/>
    <col min="28" max="28" width="10.23046875" bestFit="1" customWidth="1"/>
  </cols>
  <sheetData>
    <row r="1" spans="2:24" ht="17.600000000000001">
      <c r="B1" s="218" t="s">
        <v>174</v>
      </c>
      <c r="C1" s="218"/>
      <c r="D1" s="218"/>
      <c r="E1" s="218"/>
      <c r="F1" s="218"/>
      <c r="G1" s="218"/>
      <c r="H1" s="218"/>
      <c r="R1" s="219" t="s">
        <v>107</v>
      </c>
      <c r="S1" s="219"/>
      <c r="T1" s="219"/>
      <c r="U1" s="219"/>
      <c r="V1" s="219"/>
      <c r="W1" s="219"/>
      <c r="X1" s="219"/>
    </row>
    <row r="2" spans="2:24" ht="18" customHeight="1">
      <c r="B2" s="86"/>
      <c r="R2" s="86"/>
    </row>
    <row r="3" spans="2:24">
      <c r="B3" s="2"/>
      <c r="R3" s="2"/>
    </row>
    <row r="4" spans="2:24" ht="15">
      <c r="B4" s="13" t="s">
        <v>45</v>
      </c>
      <c r="C4" s="69" t="s">
        <v>167</v>
      </c>
      <c r="D4" s="70"/>
      <c r="E4" s="70"/>
      <c r="F4" s="70"/>
      <c r="G4" s="71"/>
      <c r="H4" s="72"/>
      <c r="R4" s="13" t="s">
        <v>45</v>
      </c>
      <c r="S4" s="97" t="s">
        <v>104</v>
      </c>
      <c r="T4" s="98"/>
      <c r="U4" s="98"/>
      <c r="V4" s="98"/>
      <c r="W4" s="98"/>
      <c r="X4" s="99"/>
    </row>
    <row r="5" spans="2:24" ht="15">
      <c r="B5" s="12"/>
      <c r="G5" s="12"/>
      <c r="H5" s="12"/>
      <c r="R5" s="12"/>
      <c r="S5" s="100" t="s">
        <v>0</v>
      </c>
      <c r="T5" s="100"/>
      <c r="U5" s="100"/>
      <c r="V5" s="3">
        <f ca="1">TODAY()</f>
        <v>43384</v>
      </c>
      <c r="W5" s="100"/>
      <c r="X5" s="100"/>
    </row>
    <row r="6" spans="2:24" ht="15">
      <c r="B6" s="12" t="s">
        <v>178</v>
      </c>
      <c r="C6" s="30"/>
      <c r="D6" s="30"/>
      <c r="E6" s="128" t="s">
        <v>238</v>
      </c>
      <c r="F6" s="73"/>
      <c r="G6" s="17"/>
      <c r="H6" s="17"/>
      <c r="R6" s="12" t="s">
        <v>79</v>
      </c>
      <c r="S6" s="101"/>
      <c r="T6" s="101"/>
      <c r="U6" s="97"/>
      <c r="V6" s="102"/>
      <c r="W6" s="21"/>
      <c r="X6" s="21"/>
    </row>
    <row r="7" spans="2:24" ht="15">
      <c r="B7" s="12" t="s">
        <v>117</v>
      </c>
      <c r="C7" s="12"/>
      <c r="D7" s="12"/>
      <c r="E7" s="129" t="s">
        <v>120</v>
      </c>
      <c r="F7" s="205"/>
      <c r="G7" s="130"/>
      <c r="H7" s="17"/>
      <c r="R7" s="12" t="s">
        <v>68</v>
      </c>
      <c r="S7" s="100"/>
      <c r="T7" s="100"/>
      <c r="U7" s="97"/>
      <c r="V7" s="103"/>
      <c r="W7" s="21"/>
      <c r="X7" s="21"/>
    </row>
    <row r="8" spans="2:24" ht="15">
      <c r="B8" s="12" t="s">
        <v>118</v>
      </c>
      <c r="C8" s="12"/>
      <c r="D8" s="12"/>
      <c r="E8" s="17"/>
      <c r="F8" s="162">
        <f>'1. Description'!G7</f>
        <v>43388</v>
      </c>
      <c r="G8" s="17"/>
      <c r="H8" s="17"/>
      <c r="R8" s="12" t="s">
        <v>69</v>
      </c>
      <c r="S8" s="100"/>
      <c r="T8" s="100"/>
      <c r="U8" s="21"/>
      <c r="V8" s="104">
        <f>'2. Bred Heifer Budget'!F8</f>
        <v>43388</v>
      </c>
      <c r="W8" s="21"/>
      <c r="X8" s="21"/>
    </row>
    <row r="9" spans="2:24" ht="15">
      <c r="B9" s="12" t="s">
        <v>119</v>
      </c>
      <c r="C9" s="13" t="s">
        <v>2</v>
      </c>
      <c r="D9" s="13"/>
      <c r="E9" s="17"/>
      <c r="F9" s="78">
        <f>'1. Description'!G8</f>
        <v>100</v>
      </c>
      <c r="G9" s="17"/>
      <c r="H9" s="17"/>
      <c r="R9" s="12" t="s">
        <v>70</v>
      </c>
      <c r="S9" s="105" t="s">
        <v>2</v>
      </c>
      <c r="T9" s="105"/>
      <c r="U9" s="21"/>
      <c r="V9" s="97">
        <f>'2. Bred Heifer Budget'!F9</f>
        <v>100</v>
      </c>
      <c r="W9" s="21"/>
      <c r="X9" s="21"/>
    </row>
    <row r="10" spans="2:24" ht="15">
      <c r="B10" s="12" t="s">
        <v>82</v>
      </c>
      <c r="C10" s="13" t="s">
        <v>180</v>
      </c>
      <c r="D10" s="13"/>
      <c r="E10" s="17"/>
      <c r="F10" s="78">
        <f>'1. Description'!G9</f>
        <v>500</v>
      </c>
      <c r="G10" s="17"/>
      <c r="H10" s="17"/>
      <c r="R10" s="12" t="s">
        <v>82</v>
      </c>
      <c r="S10" s="105"/>
      <c r="T10" s="105"/>
      <c r="U10" s="21"/>
      <c r="V10" s="97">
        <f>'2. Bred Heifer Budget'!F10</f>
        <v>500</v>
      </c>
      <c r="W10" s="21"/>
      <c r="X10" s="21"/>
    </row>
    <row r="11" spans="2:24" ht="15">
      <c r="B11" s="12" t="s">
        <v>226</v>
      </c>
      <c r="C11" s="13" t="s">
        <v>131</v>
      </c>
      <c r="D11" s="13"/>
      <c r="E11" s="17"/>
      <c r="F11" s="119">
        <f>'1. Description'!G10</f>
        <v>170</v>
      </c>
      <c r="G11" s="17"/>
      <c r="H11" s="17"/>
      <c r="R11" s="12"/>
      <c r="S11" s="105"/>
      <c r="T11" s="105"/>
      <c r="U11" s="21"/>
      <c r="V11" s="97"/>
      <c r="W11" s="21"/>
      <c r="X11" s="21"/>
    </row>
    <row r="12" spans="2:24" ht="15">
      <c r="B12" s="12" t="s">
        <v>227</v>
      </c>
      <c r="C12" s="13" t="s">
        <v>6</v>
      </c>
      <c r="D12" s="13"/>
      <c r="E12" s="17"/>
      <c r="F12" s="175">
        <f>F10*F11*0.01</f>
        <v>850</v>
      </c>
      <c r="G12" s="17"/>
      <c r="H12" s="17"/>
      <c r="R12" s="12" t="s">
        <v>80</v>
      </c>
      <c r="S12" s="105" t="s">
        <v>6</v>
      </c>
      <c r="T12" s="105"/>
      <c r="U12" s="21"/>
      <c r="V12" s="97">
        <v>0</v>
      </c>
      <c r="W12" s="21"/>
      <c r="X12" s="21"/>
    </row>
    <row r="13" spans="2:24" ht="15">
      <c r="B13" s="12" t="s">
        <v>225</v>
      </c>
      <c r="C13" s="13" t="s">
        <v>5</v>
      </c>
      <c r="D13" s="13"/>
      <c r="E13" s="176">
        <f>'1. Description'!G11</f>
        <v>0</v>
      </c>
      <c r="F13" s="48">
        <f>((F12*0.01)*E13)</f>
        <v>0</v>
      </c>
      <c r="G13" s="17"/>
      <c r="H13" s="17"/>
      <c r="R13" s="12" t="s">
        <v>71</v>
      </c>
      <c r="S13" s="105" t="s">
        <v>5</v>
      </c>
      <c r="T13" s="105"/>
      <c r="U13" s="97">
        <f>'2. Bred Heifer Budget'!E13</f>
        <v>0</v>
      </c>
      <c r="V13" s="97">
        <f>'2. Bred Heifer Budget'!F13</f>
        <v>0</v>
      </c>
      <c r="W13" s="21"/>
      <c r="X13" s="21"/>
    </row>
    <row r="14" spans="2:24" ht="15">
      <c r="B14" s="12" t="s">
        <v>73</v>
      </c>
      <c r="C14" s="13" t="s">
        <v>6</v>
      </c>
      <c r="D14" s="13"/>
      <c r="E14" s="17"/>
      <c r="F14" s="119">
        <f>'1. Description'!G12</f>
        <v>0</v>
      </c>
      <c r="G14" s="17"/>
      <c r="H14" s="17"/>
      <c r="R14" s="12" t="s">
        <v>73</v>
      </c>
      <c r="S14" s="105" t="s">
        <v>6</v>
      </c>
      <c r="T14" s="105"/>
      <c r="U14" s="21"/>
      <c r="V14" s="97">
        <v>0</v>
      </c>
      <c r="W14" s="21"/>
      <c r="X14" s="21"/>
    </row>
    <row r="15" spans="2:24" ht="15">
      <c r="B15" s="12"/>
      <c r="C15" s="13"/>
      <c r="D15" s="12"/>
      <c r="E15" s="17"/>
      <c r="F15" s="22"/>
      <c r="G15" s="17"/>
      <c r="H15" s="17"/>
      <c r="R15" s="12"/>
      <c r="S15" s="100"/>
      <c r="T15" s="100"/>
      <c r="U15" s="21"/>
      <c r="V15" s="22"/>
      <c r="W15" s="21"/>
      <c r="X15" s="21"/>
    </row>
    <row r="16" spans="2:24" ht="15.45">
      <c r="B16" s="12" t="s">
        <v>92</v>
      </c>
      <c r="C16" s="9" t="s">
        <v>6</v>
      </c>
      <c r="D16" s="13"/>
      <c r="E16" s="17"/>
      <c r="F16" s="15">
        <f>(F12-F13+F14)</f>
        <v>850</v>
      </c>
      <c r="G16" s="23"/>
      <c r="H16" s="17"/>
      <c r="R16" s="12" t="s">
        <v>92</v>
      </c>
      <c r="S16" s="105" t="s">
        <v>6</v>
      </c>
      <c r="T16" s="105"/>
      <c r="U16" s="21"/>
      <c r="V16" s="97">
        <v>0</v>
      </c>
      <c r="W16" s="106"/>
      <c r="X16" s="21"/>
    </row>
    <row r="17" spans="2:26" ht="15.45">
      <c r="B17" s="12"/>
      <c r="C17" s="13"/>
      <c r="D17" s="13"/>
      <c r="E17" s="17"/>
      <c r="F17" s="60"/>
      <c r="G17" s="23"/>
      <c r="H17" s="17"/>
      <c r="R17" s="12"/>
      <c r="S17" s="105"/>
      <c r="T17" s="105"/>
      <c r="U17" s="21"/>
      <c r="V17" s="15"/>
      <c r="W17" s="106"/>
      <c r="X17" s="21"/>
    </row>
    <row r="18" spans="2:26" ht="15.45">
      <c r="B18" s="1" t="s">
        <v>72</v>
      </c>
      <c r="C18" s="9" t="s">
        <v>46</v>
      </c>
      <c r="D18" s="9"/>
      <c r="E18" s="17"/>
      <c r="F18" s="10">
        <f>(F16*F9)</f>
        <v>85000</v>
      </c>
      <c r="G18" s="8"/>
      <c r="H18" s="22"/>
      <c r="R18" s="1" t="s">
        <v>72</v>
      </c>
      <c r="S18" s="107" t="s">
        <v>46</v>
      </c>
      <c r="T18" s="107"/>
      <c r="U18" s="21"/>
      <c r="V18" s="108">
        <v>0</v>
      </c>
      <c r="W18" s="109"/>
      <c r="X18" s="22"/>
    </row>
    <row r="19" spans="2:26" ht="15">
      <c r="B19" s="11" t="s">
        <v>7</v>
      </c>
      <c r="C19" s="13"/>
      <c r="D19" s="11"/>
      <c r="E19" s="36"/>
      <c r="F19" s="36"/>
      <c r="G19" s="36"/>
      <c r="H19" s="36"/>
      <c r="R19" s="11" t="s">
        <v>7</v>
      </c>
      <c r="S19" s="110"/>
      <c r="T19" s="110"/>
      <c r="U19" s="111"/>
      <c r="V19" s="111"/>
      <c r="W19" s="111"/>
      <c r="X19" s="111"/>
    </row>
    <row r="20" spans="2:26" ht="15">
      <c r="B20" s="12" t="s">
        <v>101</v>
      </c>
      <c r="C20" s="131"/>
      <c r="D20" s="30"/>
      <c r="E20" s="4" t="s">
        <v>102</v>
      </c>
      <c r="F20" s="5"/>
      <c r="G20" s="17"/>
      <c r="H20" s="17"/>
      <c r="R20" s="12" t="s">
        <v>101</v>
      </c>
      <c r="S20" s="101"/>
      <c r="T20" s="101"/>
      <c r="U20" s="97" t="s">
        <v>102</v>
      </c>
      <c r="V20" s="102"/>
      <c r="W20" s="21"/>
      <c r="X20" s="21"/>
    </row>
    <row r="21" spans="2:26" ht="15">
      <c r="B21" s="12"/>
      <c r="C21" s="131"/>
      <c r="D21" s="30"/>
      <c r="E21" s="17"/>
      <c r="F21" s="17"/>
      <c r="G21" s="17"/>
      <c r="H21" s="17"/>
      <c r="R21" s="12"/>
      <c r="S21" s="101"/>
      <c r="T21" s="101"/>
      <c r="U21" s="21"/>
      <c r="V21" s="21"/>
      <c r="W21" s="21"/>
      <c r="X21" s="21"/>
    </row>
    <row r="22" spans="2:26" ht="15">
      <c r="B22" s="12" t="s">
        <v>168</v>
      </c>
      <c r="C22" s="131"/>
      <c r="D22" s="30"/>
      <c r="E22" s="17"/>
      <c r="F22" s="144">
        <f>'1. Description'!G48</f>
        <v>44256</v>
      </c>
      <c r="G22" s="196" t="s">
        <v>166</v>
      </c>
      <c r="H22" s="145">
        <f>(F22-F8)/30.47</f>
        <v>28.487036429274699</v>
      </c>
      <c r="R22" s="12" t="s">
        <v>1</v>
      </c>
      <c r="S22" s="105"/>
      <c r="T22" s="100"/>
      <c r="U22" s="21"/>
      <c r="V22" s="50">
        <f>V8+V23</f>
        <v>44256</v>
      </c>
      <c r="W22" s="21" t="s">
        <v>94</v>
      </c>
      <c r="X22" s="21"/>
    </row>
    <row r="23" spans="2:26" ht="15">
      <c r="B23" s="12" t="s">
        <v>188</v>
      </c>
      <c r="C23" s="132"/>
      <c r="D23" s="83"/>
      <c r="E23" s="17"/>
      <c r="F23" s="6">
        <f>F22-F8</f>
        <v>868</v>
      </c>
      <c r="G23" s="91"/>
      <c r="H23" s="17"/>
      <c r="R23" s="12" t="s">
        <v>81</v>
      </c>
      <c r="S23" s="105"/>
      <c r="T23" s="100"/>
      <c r="U23" s="21"/>
      <c r="V23" s="6">
        <f>F23</f>
        <v>868</v>
      </c>
      <c r="W23" s="113">
        <f>V23/30.47</f>
        <v>28.487036429274699</v>
      </c>
      <c r="X23" s="21"/>
    </row>
    <row r="24" spans="2:26" ht="15">
      <c r="B24" s="12" t="s">
        <v>8</v>
      </c>
      <c r="C24" s="13" t="s">
        <v>181</v>
      </c>
      <c r="D24" s="13"/>
      <c r="E24" s="17"/>
      <c r="F24" s="34">
        <v>1.25</v>
      </c>
      <c r="G24" s="17"/>
      <c r="H24" s="75"/>
      <c r="R24" s="12" t="s">
        <v>8</v>
      </c>
      <c r="S24" s="105" t="s">
        <v>9</v>
      </c>
      <c r="T24" s="105"/>
      <c r="U24" s="21"/>
      <c r="V24" s="114">
        <f>F24</f>
        <v>1.25</v>
      </c>
      <c r="W24" s="21"/>
      <c r="X24" s="115"/>
    </row>
    <row r="25" spans="2:26" ht="15">
      <c r="B25" s="12" t="s">
        <v>83</v>
      </c>
      <c r="C25" s="13" t="s">
        <v>130</v>
      </c>
      <c r="D25" s="13"/>
      <c r="E25" s="17"/>
      <c r="F25" s="61">
        <f>(F23*F24+F10)</f>
        <v>1585</v>
      </c>
      <c r="G25" s="37"/>
      <c r="H25" s="75"/>
      <c r="R25" s="12" t="s">
        <v>83</v>
      </c>
      <c r="S25" s="105" t="s">
        <v>10</v>
      </c>
      <c r="T25" s="105"/>
      <c r="U25" s="21"/>
      <c r="V25" s="116">
        <f>(V23*V24+V10)</f>
        <v>1585</v>
      </c>
      <c r="W25" s="37"/>
      <c r="X25" s="115"/>
    </row>
    <row r="26" spans="2:26" ht="15">
      <c r="B26" s="12" t="s">
        <v>84</v>
      </c>
      <c r="C26" s="13" t="s">
        <v>130</v>
      </c>
      <c r="D26" s="13"/>
      <c r="E26" s="17"/>
      <c r="F26" s="6">
        <f>(F25-F10)</f>
        <v>1085</v>
      </c>
      <c r="G26" s="23"/>
      <c r="H26" s="38"/>
      <c r="R26" s="12" t="s">
        <v>84</v>
      </c>
      <c r="S26" s="117" t="s">
        <v>85</v>
      </c>
      <c r="T26" s="105"/>
      <c r="U26" s="21"/>
      <c r="V26" s="6">
        <f>(V25-V10)</f>
        <v>1085</v>
      </c>
      <c r="W26" s="106"/>
      <c r="X26" s="118"/>
    </row>
    <row r="27" spans="2:26" ht="15">
      <c r="B27" s="12" t="s">
        <v>121</v>
      </c>
      <c r="C27" s="13" t="s">
        <v>2</v>
      </c>
      <c r="D27" s="13"/>
      <c r="E27" s="17"/>
      <c r="F27" s="6">
        <f>'1. Description'!G16+'1. Description'!G29+'1. Description'!G39</f>
        <v>22.955000000000005</v>
      </c>
      <c r="G27" s="23"/>
      <c r="H27" s="38"/>
      <c r="R27" s="12" t="s">
        <v>121</v>
      </c>
      <c r="S27" s="13" t="s">
        <v>2</v>
      </c>
      <c r="T27" s="105"/>
      <c r="U27" s="21"/>
      <c r="V27" s="6"/>
      <c r="W27" s="106"/>
      <c r="X27" s="118"/>
    </row>
    <row r="28" spans="2:26" ht="15.45">
      <c r="B28" s="12" t="s">
        <v>122</v>
      </c>
      <c r="C28" s="23" t="s">
        <v>46</v>
      </c>
      <c r="D28" s="13"/>
      <c r="E28" s="17"/>
      <c r="F28" s="125">
        <f>'1. Description'!G19+'1. Description'!G32+'1. Description'!G43</f>
        <v>27888.000000000007</v>
      </c>
      <c r="G28" s="23"/>
      <c r="H28" s="38"/>
      <c r="R28" s="12" t="s">
        <v>122</v>
      </c>
      <c r="S28" s="9" t="s">
        <v>46</v>
      </c>
      <c r="T28" s="105"/>
      <c r="U28" s="21"/>
      <c r="V28" s="6"/>
      <c r="W28" s="106"/>
      <c r="X28" s="118"/>
    </row>
    <row r="29" spans="2:26" ht="15">
      <c r="B29" s="12" t="s">
        <v>123</v>
      </c>
      <c r="C29" s="13" t="s">
        <v>2</v>
      </c>
      <c r="D29" s="13"/>
      <c r="E29" s="17"/>
      <c r="F29" s="6">
        <f>'1. Description'!F56</f>
        <v>1</v>
      </c>
      <c r="G29" s="23"/>
      <c r="H29" s="38"/>
      <c r="R29" s="12" t="s">
        <v>123</v>
      </c>
      <c r="S29" s="13" t="s">
        <v>124</v>
      </c>
      <c r="T29" s="105"/>
      <c r="U29" s="21"/>
      <c r="V29" s="6"/>
      <c r="W29" s="106"/>
      <c r="X29" s="118"/>
    </row>
    <row r="30" spans="2:26" ht="15">
      <c r="B30" s="58" t="s">
        <v>93</v>
      </c>
      <c r="C30" s="13" t="s">
        <v>6</v>
      </c>
      <c r="D30" s="13"/>
      <c r="E30" s="17"/>
      <c r="F30" s="126">
        <v>1800</v>
      </c>
      <c r="G30" s="17"/>
      <c r="H30" s="17"/>
      <c r="J30" s="7"/>
      <c r="R30" s="58" t="s">
        <v>93</v>
      </c>
      <c r="S30" s="105" t="s">
        <v>6</v>
      </c>
      <c r="T30" s="105"/>
      <c r="U30" s="21"/>
      <c r="V30" s="112">
        <f>F30</f>
        <v>1800</v>
      </c>
      <c r="W30" s="21"/>
      <c r="X30" s="21"/>
      <c r="Z30" s="7"/>
    </row>
    <row r="31" spans="2:26" ht="15">
      <c r="B31" s="12" t="s">
        <v>4</v>
      </c>
      <c r="C31" s="13" t="s">
        <v>5</v>
      </c>
      <c r="D31" s="13"/>
      <c r="E31" s="59">
        <v>2</v>
      </c>
      <c r="F31" s="62">
        <f>((F30*E31*0.01))</f>
        <v>36</v>
      </c>
      <c r="G31" s="23"/>
      <c r="H31" s="23"/>
      <c r="J31" s="7"/>
      <c r="R31" s="12" t="s">
        <v>4</v>
      </c>
      <c r="S31" s="105" t="s">
        <v>5</v>
      </c>
      <c r="T31" s="105"/>
      <c r="U31" s="112">
        <f>E31</f>
        <v>2</v>
      </c>
      <c r="V31" s="119">
        <f>((V30*U31*0.01))</f>
        <v>36</v>
      </c>
      <c r="W31" s="106"/>
      <c r="X31" s="106"/>
      <c r="Z31" s="7"/>
    </row>
    <row r="32" spans="2:26" ht="15">
      <c r="B32" s="12" t="s">
        <v>91</v>
      </c>
      <c r="C32" s="13" t="s">
        <v>6</v>
      </c>
      <c r="D32" s="13"/>
      <c r="E32" s="17"/>
      <c r="F32" s="35">
        <v>0</v>
      </c>
      <c r="G32" s="17"/>
      <c r="H32" s="23"/>
      <c r="R32" s="12" t="s">
        <v>91</v>
      </c>
      <c r="S32" s="105" t="s">
        <v>6</v>
      </c>
      <c r="T32" s="105"/>
      <c r="U32" s="21"/>
      <c r="V32" s="114">
        <f>F32</f>
        <v>0</v>
      </c>
      <c r="W32" s="21"/>
      <c r="X32" s="106"/>
    </row>
    <row r="33" spans="2:29" ht="15">
      <c r="B33" s="12" t="s">
        <v>11</v>
      </c>
      <c r="C33" s="13" t="s">
        <v>2</v>
      </c>
      <c r="D33" s="13"/>
      <c r="E33" s="17"/>
      <c r="F33" s="137">
        <f>'1. Description'!G47</f>
        <v>76.219492387499997</v>
      </c>
      <c r="G33" s="124"/>
      <c r="H33" s="39"/>
      <c r="R33" s="12" t="s">
        <v>11</v>
      </c>
      <c r="S33" s="105" t="s">
        <v>2</v>
      </c>
      <c r="T33" s="105"/>
      <c r="U33" s="21"/>
      <c r="V33" s="112">
        <f>F33</f>
        <v>76.219492387499997</v>
      </c>
      <c r="W33" s="47"/>
      <c r="X33" s="39"/>
    </row>
    <row r="34" spans="2:29" ht="15">
      <c r="B34" s="12" t="s">
        <v>86</v>
      </c>
      <c r="C34" s="13" t="s">
        <v>6</v>
      </c>
      <c r="D34" s="13"/>
      <c r="E34" s="17"/>
      <c r="F34" s="40">
        <f>((F30-F32-F31))</f>
        <v>1764</v>
      </c>
      <c r="R34" s="12" t="s">
        <v>86</v>
      </c>
      <c r="S34" s="105" t="s">
        <v>6</v>
      </c>
      <c r="T34" s="105"/>
      <c r="U34" s="21"/>
      <c r="V34" s="22">
        <f>((V30-V32-V31))</f>
        <v>1764</v>
      </c>
      <c r="W34" s="120"/>
      <c r="X34" s="120"/>
    </row>
    <row r="35" spans="2:29" ht="15">
      <c r="C35" s="133"/>
      <c r="G35" s="17"/>
      <c r="H35" s="17"/>
      <c r="S35" s="120"/>
      <c r="T35" s="120"/>
      <c r="U35" s="120"/>
      <c r="V35" s="120"/>
      <c r="W35" s="21"/>
      <c r="X35" s="21"/>
    </row>
    <row r="36" spans="2:29" ht="15.45">
      <c r="B36" s="1" t="s">
        <v>12</v>
      </c>
      <c r="C36" s="9" t="s">
        <v>46</v>
      </c>
      <c r="D36" s="9"/>
      <c r="E36" s="17"/>
      <c r="F36" s="10">
        <f>(F34*F33)+F28</f>
        <v>162339.18457154999</v>
      </c>
      <c r="G36" s="1"/>
      <c r="H36" s="87"/>
      <c r="R36" s="1" t="s">
        <v>12</v>
      </c>
      <c r="S36" s="9" t="s">
        <v>46</v>
      </c>
      <c r="T36" s="9"/>
      <c r="U36" s="17"/>
      <c r="V36" s="10">
        <f>(V34*V33)</f>
        <v>134451.18457154999</v>
      </c>
      <c r="W36" s="1"/>
      <c r="X36" s="87"/>
    </row>
    <row r="37" spans="2:29" ht="15">
      <c r="B37" s="12"/>
      <c r="C37" s="12"/>
      <c r="D37" s="12"/>
      <c r="E37" s="17"/>
      <c r="F37" s="40"/>
      <c r="G37" s="17"/>
      <c r="H37" s="17"/>
      <c r="R37" s="12"/>
      <c r="S37" s="12"/>
      <c r="T37" s="12"/>
      <c r="U37" s="17"/>
      <c r="V37" s="40"/>
      <c r="W37" s="17"/>
      <c r="X37" s="17"/>
    </row>
    <row r="38" spans="2:29" ht="15.45">
      <c r="B38" s="12"/>
      <c r="C38" s="12"/>
      <c r="D38" s="12"/>
      <c r="E38" s="17"/>
      <c r="F38" s="9" t="s">
        <v>13</v>
      </c>
      <c r="G38" s="9" t="s">
        <v>13</v>
      </c>
      <c r="H38" s="9" t="s">
        <v>47</v>
      </c>
      <c r="R38" s="12"/>
      <c r="S38" s="12"/>
      <c r="T38" s="12"/>
      <c r="U38" s="17"/>
      <c r="V38" s="9" t="s">
        <v>13</v>
      </c>
      <c r="W38" s="9" t="s">
        <v>13</v>
      </c>
      <c r="X38" s="9" t="s">
        <v>47</v>
      </c>
    </row>
    <row r="39" spans="2:29" ht="15.45">
      <c r="B39" s="1" t="s">
        <v>14</v>
      </c>
      <c r="C39" s="12"/>
      <c r="D39" s="12"/>
      <c r="E39" s="9"/>
      <c r="F39" s="152" t="s">
        <v>21</v>
      </c>
      <c r="G39" s="152" t="s">
        <v>6</v>
      </c>
      <c r="H39" s="152" t="s">
        <v>21</v>
      </c>
      <c r="R39" s="1" t="s">
        <v>14</v>
      </c>
      <c r="S39" s="12"/>
      <c r="T39" s="12"/>
      <c r="U39" s="9"/>
      <c r="V39" s="10" t="s">
        <v>96</v>
      </c>
      <c r="W39" s="10" t="s">
        <v>95</v>
      </c>
      <c r="X39" s="10" t="s">
        <v>96</v>
      </c>
    </row>
    <row r="40" spans="2:29" ht="15.45">
      <c r="B40" s="12" t="s">
        <v>74</v>
      </c>
      <c r="C40" s="12"/>
      <c r="D40" s="12"/>
      <c r="E40" s="17"/>
      <c r="F40" s="1"/>
      <c r="G40" s="23" t="s">
        <v>15</v>
      </c>
      <c r="H40" s="40"/>
      <c r="L40" t="s">
        <v>16</v>
      </c>
      <c r="R40" s="12" t="s">
        <v>74</v>
      </c>
      <c r="S40" s="12"/>
      <c r="T40" s="12"/>
      <c r="U40" s="17"/>
      <c r="V40" s="1"/>
      <c r="W40" s="23" t="s">
        <v>15</v>
      </c>
      <c r="X40" s="40"/>
      <c r="AB40" t="s">
        <v>16</v>
      </c>
    </row>
    <row r="41" spans="2:29" ht="15">
      <c r="B41" s="12" t="s">
        <v>17</v>
      </c>
      <c r="C41" s="13" t="s">
        <v>18</v>
      </c>
      <c r="D41" s="13"/>
      <c r="E41" s="14">
        <v>0</v>
      </c>
      <c r="F41" s="17" t="s">
        <v>189</v>
      </c>
      <c r="G41" s="63">
        <v>5</v>
      </c>
      <c r="H41" s="40" t="s">
        <v>3</v>
      </c>
      <c r="L41" t="s">
        <v>20</v>
      </c>
      <c r="R41" s="12" t="s">
        <v>17</v>
      </c>
      <c r="S41" s="13" t="s">
        <v>18</v>
      </c>
      <c r="T41" s="13"/>
      <c r="U41" s="123">
        <f>E41</f>
        <v>0</v>
      </c>
      <c r="V41" s="82" t="s">
        <v>19</v>
      </c>
      <c r="W41" s="123">
        <f>G41</f>
        <v>5</v>
      </c>
      <c r="X41" s="40" t="s">
        <v>3</v>
      </c>
      <c r="AB41" t="s">
        <v>20</v>
      </c>
    </row>
    <row r="42" spans="2:29" ht="15">
      <c r="B42" s="12" t="s">
        <v>40</v>
      </c>
      <c r="C42" s="13" t="s">
        <v>46</v>
      </c>
      <c r="D42" s="13"/>
      <c r="E42" s="17"/>
      <c r="F42" s="23" t="s">
        <v>21</v>
      </c>
      <c r="G42" s="153" t="s">
        <v>184</v>
      </c>
      <c r="H42" s="64">
        <f>L51</f>
        <v>21675.310347054859</v>
      </c>
      <c r="L42" s="43">
        <f>($G$41*($D$46/365))</f>
        <v>15.599864383561643</v>
      </c>
      <c r="M42" t="s">
        <v>3</v>
      </c>
      <c r="R42" s="12" t="s">
        <v>40</v>
      </c>
      <c r="S42" s="13" t="s">
        <v>46</v>
      </c>
      <c r="T42" s="13"/>
      <c r="U42" s="17"/>
      <c r="V42" s="23" t="s">
        <v>21</v>
      </c>
      <c r="W42" s="40" t="s">
        <v>95</v>
      </c>
      <c r="X42" s="64">
        <f>AB51</f>
        <v>9975.4120593836305</v>
      </c>
      <c r="AB42" s="43">
        <f>($G$41*($T$46/365))</f>
        <v>15.599864383561643</v>
      </c>
      <c r="AC42" t="s">
        <v>3</v>
      </c>
    </row>
    <row r="43" spans="2:29" ht="15">
      <c r="B43" s="12" t="s">
        <v>22</v>
      </c>
      <c r="C43" s="13" t="s">
        <v>182</v>
      </c>
      <c r="D43" s="12"/>
      <c r="E43" s="48">
        <f>(F43/F9)</f>
        <v>0</v>
      </c>
      <c r="F43" s="64">
        <f>(E41*H42*0.01)</f>
        <v>0</v>
      </c>
      <c r="G43" s="22">
        <f>F43/$F$33</f>
        <v>0</v>
      </c>
      <c r="H43" s="40"/>
      <c r="L43" t="s">
        <v>51</v>
      </c>
      <c r="R43" s="12" t="s">
        <v>22</v>
      </c>
      <c r="S43" s="13" t="s">
        <v>23</v>
      </c>
      <c r="T43" s="12"/>
      <c r="U43" s="48">
        <f>(V43/V9)</f>
        <v>0</v>
      </c>
      <c r="V43" s="64">
        <f>(U41*X42*0.01)</f>
        <v>0</v>
      </c>
      <c r="W43" s="22">
        <f>V43/$F$33</f>
        <v>0</v>
      </c>
      <c r="AB43" t="s">
        <v>51</v>
      </c>
    </row>
    <row r="44" spans="2:29" ht="15">
      <c r="B44" s="12" t="s">
        <v>106</v>
      </c>
      <c r="C44" s="13" t="s">
        <v>46</v>
      </c>
      <c r="F44" s="64">
        <f>F18</f>
        <v>85000</v>
      </c>
      <c r="G44" s="40">
        <f t="shared" ref="G44:G54" si="0">F44/$F$33</f>
        <v>1115.2002898137905</v>
      </c>
      <c r="H44" s="40">
        <f>F44</f>
        <v>85000</v>
      </c>
      <c r="L44" s="45">
        <f>((SUM($F$45:$F$52)*0.5*(($D$46/365)*$G$41*0.01)))</f>
        <v>8415.4256210274652</v>
      </c>
      <c r="M44" t="s">
        <v>25</v>
      </c>
      <c r="R44" s="12" t="s">
        <v>106</v>
      </c>
      <c r="S44" s="13" t="s">
        <v>46</v>
      </c>
      <c r="V44" s="64">
        <v>0</v>
      </c>
      <c r="W44" s="40">
        <f>V44/$F$33</f>
        <v>0</v>
      </c>
      <c r="X44" s="40">
        <f>V44</f>
        <v>0</v>
      </c>
      <c r="AB44" s="45">
        <f>((SUM($V$45:$V$52)*0.5*(($T$46/365)*$W$41*0.01)))</f>
        <v>9975.4120593836305</v>
      </c>
      <c r="AC44" t="s">
        <v>25</v>
      </c>
    </row>
    <row r="45" spans="2:29" ht="15">
      <c r="B45" s="12" t="s">
        <v>44</v>
      </c>
      <c r="C45" s="13"/>
      <c r="D45" s="13" t="s">
        <v>32</v>
      </c>
      <c r="E45" s="197" t="s">
        <v>244</v>
      </c>
      <c r="F45" s="17"/>
      <c r="H45" s="40"/>
      <c r="R45" s="12" t="s">
        <v>44</v>
      </c>
      <c r="S45" s="13"/>
      <c r="T45" s="13" t="s">
        <v>32</v>
      </c>
      <c r="U45" s="41" t="s">
        <v>24</v>
      </c>
      <c r="V45" s="40"/>
      <c r="X45" s="40"/>
    </row>
    <row r="46" spans="2:29" ht="15">
      <c r="B46" s="18" t="s">
        <v>78</v>
      </c>
      <c r="C46" s="19" t="s">
        <v>26</v>
      </c>
      <c r="D46" s="66">
        <f>'1. Description'!L36</f>
        <v>1138.7900999999999</v>
      </c>
      <c r="E46" s="65">
        <v>1</v>
      </c>
      <c r="F46" s="40">
        <f>D46*E46*$F$9</f>
        <v>113879.01</v>
      </c>
      <c r="G46" s="40">
        <f t="shared" si="0"/>
        <v>1494.0929994789124</v>
      </c>
      <c r="H46" s="40">
        <f t="shared" ref="H46:H54" si="1">F46</f>
        <v>113879.01</v>
      </c>
      <c r="L46" s="45">
        <f>($F$16*$F$9)*(($D$46/365)*$G$41*0.01)</f>
        <v>13259.884726027396</v>
      </c>
      <c r="M46" t="s">
        <v>27</v>
      </c>
      <c r="R46" s="22" t="str">
        <f>B46</f>
        <v xml:space="preserve">   Cost Based on Days Fed and/or Grazed</v>
      </c>
      <c r="S46" s="22" t="str">
        <f>C46</f>
        <v xml:space="preserve">     Days </v>
      </c>
      <c r="T46" s="37">
        <f>D46</f>
        <v>1138.7900999999999</v>
      </c>
      <c r="U46" s="22">
        <f>K57</f>
        <v>1.1230428680403879</v>
      </c>
      <c r="V46" s="40">
        <f>T46*U46*$V$9</f>
        <v>127891.01000000001</v>
      </c>
      <c r="W46" s="40">
        <f t="shared" ref="W46:W54" si="2">V46/$F$33</f>
        <v>1677.9304872538635</v>
      </c>
      <c r="X46" s="40">
        <f t="shared" ref="X46:X54" si="3">V46</f>
        <v>127891.01000000001</v>
      </c>
      <c r="AB46" s="45">
        <f>($V$16*$V$9)*(($T$46/365)*$W$41*0.01)</f>
        <v>0</v>
      </c>
      <c r="AC46" t="s">
        <v>27</v>
      </c>
    </row>
    <row r="47" spans="2:29" ht="15">
      <c r="B47" s="20" t="s">
        <v>41</v>
      </c>
      <c r="C47" s="31" t="s">
        <v>182</v>
      </c>
      <c r="D47" s="67">
        <v>1</v>
      </c>
      <c r="E47" s="65">
        <v>24</v>
      </c>
      <c r="F47" s="40">
        <f t="shared" ref="F47:F52" si="4">(D47*E47*$F$9)</f>
        <v>2400</v>
      </c>
      <c r="G47" s="22">
        <f t="shared" si="0"/>
        <v>31.488008182977616</v>
      </c>
      <c r="H47" s="40">
        <f t="shared" si="1"/>
        <v>2400</v>
      </c>
      <c r="R47" s="121" t="str">
        <f t="shared" ref="R47:S53" si="5">B47</f>
        <v xml:space="preserve">   Processing and Health</v>
      </c>
      <c r="S47" s="22" t="str">
        <f t="shared" si="5"/>
        <v>$/Hd</v>
      </c>
      <c r="T47" s="37"/>
      <c r="U47" s="22"/>
      <c r="V47" s="40">
        <f t="shared" ref="V47:V52" si="6">(T47*U47*$F$9)</f>
        <v>0</v>
      </c>
      <c r="W47" s="22">
        <f t="shared" si="2"/>
        <v>0</v>
      </c>
      <c r="X47" s="40">
        <f t="shared" si="3"/>
        <v>0</v>
      </c>
    </row>
    <row r="48" spans="2:29" ht="15">
      <c r="B48" s="20" t="s">
        <v>115</v>
      </c>
      <c r="C48" s="31" t="s">
        <v>182</v>
      </c>
      <c r="D48" s="67">
        <v>1</v>
      </c>
      <c r="E48" s="65">
        <v>40</v>
      </c>
      <c r="F48" s="40">
        <f t="shared" si="4"/>
        <v>4000</v>
      </c>
      <c r="G48" s="22">
        <f t="shared" si="0"/>
        <v>52.480013638296029</v>
      </c>
      <c r="H48" s="40">
        <f>F48</f>
        <v>4000</v>
      </c>
      <c r="R48" s="121" t="str">
        <f t="shared" si="5"/>
        <v xml:space="preserve">   Breeding</v>
      </c>
      <c r="S48" s="22" t="str">
        <f t="shared" si="5"/>
        <v>$/Hd</v>
      </c>
      <c r="T48" s="37"/>
      <c r="U48" s="22"/>
      <c r="V48" s="40">
        <f t="shared" si="6"/>
        <v>0</v>
      </c>
      <c r="W48" s="22">
        <f t="shared" si="2"/>
        <v>0</v>
      </c>
      <c r="X48" s="40">
        <f t="shared" si="3"/>
        <v>0</v>
      </c>
    </row>
    <row r="49" spans="2:29" ht="15">
      <c r="B49" s="20" t="s">
        <v>171</v>
      </c>
      <c r="C49" s="74" t="s">
        <v>182</v>
      </c>
      <c r="D49" s="67">
        <v>1</v>
      </c>
      <c r="E49" s="65">
        <v>100</v>
      </c>
      <c r="F49" s="40">
        <f t="shared" si="4"/>
        <v>10000</v>
      </c>
      <c r="G49" s="22">
        <f t="shared" si="0"/>
        <v>131.20003409574008</v>
      </c>
      <c r="H49" s="40">
        <f>F49</f>
        <v>10000</v>
      </c>
      <c r="R49" s="121" t="str">
        <f t="shared" si="5"/>
        <v xml:space="preserve">   Calving</v>
      </c>
      <c r="S49" s="22" t="str">
        <f t="shared" si="5"/>
        <v>$/Hd</v>
      </c>
      <c r="T49" s="37"/>
      <c r="U49" s="22"/>
      <c r="V49" s="40">
        <f t="shared" si="6"/>
        <v>0</v>
      </c>
      <c r="W49" s="22">
        <f t="shared" si="2"/>
        <v>0</v>
      </c>
      <c r="X49" s="40">
        <f t="shared" si="3"/>
        <v>0</v>
      </c>
    </row>
    <row r="50" spans="2:29" ht="15">
      <c r="B50" s="20" t="s">
        <v>259</v>
      </c>
      <c r="C50" s="74" t="s">
        <v>182</v>
      </c>
      <c r="D50" s="67">
        <v>1</v>
      </c>
      <c r="E50" s="65">
        <v>5</v>
      </c>
      <c r="F50" s="40">
        <f t="shared" si="4"/>
        <v>500</v>
      </c>
      <c r="G50" s="22">
        <f t="shared" si="0"/>
        <v>6.5600017047870036</v>
      </c>
      <c r="H50" s="40">
        <f>F50</f>
        <v>500</v>
      </c>
      <c r="R50" s="121" t="str">
        <f t="shared" si="5"/>
        <v xml:space="preserve">   Pregnancy Check</v>
      </c>
      <c r="S50" s="22" t="str">
        <f t="shared" si="5"/>
        <v>$/Hd</v>
      </c>
      <c r="T50" s="37"/>
      <c r="U50" s="22"/>
      <c r="V50" s="40">
        <f t="shared" si="6"/>
        <v>0</v>
      </c>
      <c r="W50" s="22">
        <f t="shared" si="2"/>
        <v>0</v>
      </c>
      <c r="X50" s="40">
        <f t="shared" si="3"/>
        <v>0</v>
      </c>
    </row>
    <row r="51" spans="2:29" ht="15">
      <c r="B51" s="20" t="s">
        <v>42</v>
      </c>
      <c r="C51" s="74" t="s">
        <v>182</v>
      </c>
      <c r="D51" s="67">
        <v>1</v>
      </c>
      <c r="E51" s="65">
        <v>50</v>
      </c>
      <c r="F51" s="40">
        <f t="shared" si="4"/>
        <v>5000</v>
      </c>
      <c r="G51" s="22">
        <f t="shared" si="0"/>
        <v>65.60001704787004</v>
      </c>
      <c r="H51" s="40">
        <f t="shared" si="1"/>
        <v>5000</v>
      </c>
      <c r="L51" s="44">
        <f>(L44+L46)</f>
        <v>21675.310347054859</v>
      </c>
      <c r="M51" t="s">
        <v>21</v>
      </c>
      <c r="R51" s="121" t="str">
        <f t="shared" si="5"/>
        <v xml:space="preserve">   General and Administrative</v>
      </c>
      <c r="S51" s="22" t="str">
        <f t="shared" si="5"/>
        <v>$/Hd</v>
      </c>
      <c r="T51" s="37"/>
      <c r="U51" s="22"/>
      <c r="V51" s="40">
        <f t="shared" si="6"/>
        <v>0</v>
      </c>
      <c r="W51" s="22">
        <f t="shared" si="2"/>
        <v>0</v>
      </c>
      <c r="X51" s="40">
        <f t="shared" si="3"/>
        <v>0</v>
      </c>
      <c r="AB51" s="44">
        <f>(AB44+AB46)</f>
        <v>9975.4120593836305</v>
      </c>
      <c r="AC51" t="s">
        <v>21</v>
      </c>
    </row>
    <row r="52" spans="2:29" ht="15">
      <c r="B52" s="21" t="s">
        <v>187</v>
      </c>
      <c r="C52" s="31" t="s">
        <v>182</v>
      </c>
      <c r="D52" s="116">
        <v>1</v>
      </c>
      <c r="E52" s="22">
        <f>(F28/F9)*-1</f>
        <v>-278.88000000000005</v>
      </c>
      <c r="F52" s="40">
        <f t="shared" si="4"/>
        <v>-27888.000000000004</v>
      </c>
      <c r="G52" s="22">
        <f t="shared" si="0"/>
        <v>-365.89065508619996</v>
      </c>
      <c r="H52" s="40">
        <f>F52</f>
        <v>-27888.000000000004</v>
      </c>
      <c r="R52" s="121" t="str">
        <f t="shared" si="5"/>
        <v xml:space="preserve">   Cost Adjustment for Value of Culled Pairs</v>
      </c>
      <c r="S52" s="22" t="str">
        <f t="shared" si="5"/>
        <v>$/Hd</v>
      </c>
      <c r="T52" s="37"/>
      <c r="U52" s="22"/>
      <c r="V52" s="40">
        <f t="shared" si="6"/>
        <v>0</v>
      </c>
      <c r="W52" s="22">
        <f t="shared" si="2"/>
        <v>0</v>
      </c>
      <c r="X52" s="40">
        <f t="shared" si="3"/>
        <v>0</v>
      </c>
    </row>
    <row r="53" spans="2:29" ht="15">
      <c r="B53" s="21" t="s">
        <v>29</v>
      </c>
      <c r="C53" s="31" t="s">
        <v>182</v>
      </c>
      <c r="D53" s="67">
        <v>1</v>
      </c>
      <c r="E53" s="65">
        <v>100</v>
      </c>
      <c r="F53" s="40">
        <f>(E53*$F$9)</f>
        <v>10000</v>
      </c>
      <c r="G53" s="22">
        <f t="shared" si="0"/>
        <v>131.20003409574008</v>
      </c>
      <c r="H53" s="40">
        <f t="shared" si="1"/>
        <v>10000</v>
      </c>
      <c r="R53" s="121" t="str">
        <f t="shared" si="5"/>
        <v xml:space="preserve">   Management Cost or Return</v>
      </c>
      <c r="S53" s="22" t="str">
        <f t="shared" si="5"/>
        <v>$/Hd</v>
      </c>
      <c r="T53" s="37">
        <f>D53</f>
        <v>1</v>
      </c>
      <c r="U53" s="125">
        <f>E53</f>
        <v>100</v>
      </c>
      <c r="V53" s="40">
        <v>0</v>
      </c>
      <c r="W53" s="22">
        <f t="shared" si="2"/>
        <v>0</v>
      </c>
      <c r="X53" s="40">
        <f t="shared" si="3"/>
        <v>0</v>
      </c>
    </row>
    <row r="54" spans="2:29" ht="15">
      <c r="B54" s="12" t="s">
        <v>113</v>
      </c>
      <c r="C54" s="31" t="s">
        <v>182</v>
      </c>
      <c r="D54" s="68">
        <v>1</v>
      </c>
      <c r="E54" s="65">
        <v>100</v>
      </c>
      <c r="F54" s="40">
        <f>(D54*E54*$F$9)</f>
        <v>10000</v>
      </c>
      <c r="G54" s="22">
        <f t="shared" si="0"/>
        <v>131.20003409574008</v>
      </c>
      <c r="H54" s="40">
        <f t="shared" si="1"/>
        <v>10000</v>
      </c>
      <c r="L54" s="57" t="s">
        <v>39</v>
      </c>
      <c r="R54" s="122" t="s">
        <v>43</v>
      </c>
      <c r="S54" s="32" t="s">
        <v>23</v>
      </c>
      <c r="T54" s="37">
        <f>D54</f>
        <v>1</v>
      </c>
      <c r="U54" s="125">
        <f>E54</f>
        <v>100</v>
      </c>
      <c r="V54" s="40">
        <v>0</v>
      </c>
      <c r="W54" s="22">
        <f t="shared" si="2"/>
        <v>0</v>
      </c>
      <c r="X54" s="40">
        <f t="shared" si="3"/>
        <v>0</v>
      </c>
      <c r="AB54" s="57" t="s">
        <v>39</v>
      </c>
    </row>
    <row r="55" spans="2:29" ht="15.45">
      <c r="B55" s="1" t="s">
        <v>105</v>
      </c>
      <c r="C55" s="12"/>
      <c r="D55" s="12"/>
      <c r="E55" s="15"/>
      <c r="F55" s="10">
        <f>SUM(F43:F54)</f>
        <v>212891.01</v>
      </c>
      <c r="G55" s="22"/>
      <c r="H55" s="10">
        <f>SUM(H42:H54)</f>
        <v>234566.32034705486</v>
      </c>
      <c r="K55" t="s">
        <v>109</v>
      </c>
      <c r="R55" s="1" t="s">
        <v>30</v>
      </c>
      <c r="S55" s="12"/>
      <c r="T55" s="12"/>
      <c r="U55" s="15"/>
      <c r="V55" s="10">
        <f>SUM(V43:V54)</f>
        <v>127891.01000000001</v>
      </c>
      <c r="W55" s="22"/>
      <c r="X55" s="10">
        <f>SUM(X42:X54)</f>
        <v>137866.42205938365</v>
      </c>
      <c r="Z55" s="17" t="s">
        <v>114</v>
      </c>
    </row>
    <row r="56" spans="2:29" ht="15.45">
      <c r="B56" s="1"/>
      <c r="C56" s="12"/>
      <c r="D56" s="12"/>
      <c r="E56" s="15"/>
      <c r="F56" s="10"/>
      <c r="G56" s="40"/>
      <c r="H56" s="10"/>
      <c r="K56" t="s">
        <v>108</v>
      </c>
      <c r="R56" s="1"/>
      <c r="S56" s="12"/>
      <c r="T56" s="12"/>
      <c r="U56" s="15"/>
      <c r="V56" s="10"/>
      <c r="W56" s="40"/>
      <c r="X56" s="10"/>
      <c r="Z56" s="17" t="s">
        <v>103</v>
      </c>
    </row>
    <row r="57" spans="2:29" ht="15.45">
      <c r="B57" s="1" t="s">
        <v>257</v>
      </c>
      <c r="D57" s="12"/>
      <c r="E57" s="146" t="s">
        <v>182</v>
      </c>
      <c r="G57" s="10">
        <f>(F55/$F$33)</f>
        <v>2793.130777067654</v>
      </c>
      <c r="H57" s="10">
        <f>(H55/$F$33)</f>
        <v>3077.5109227245885</v>
      </c>
      <c r="K57" s="26">
        <f>(F43+SUM(F46:F54))/(D46*F9)</f>
        <v>1.1230428680403879</v>
      </c>
      <c r="L57" s="52"/>
      <c r="R57" s="12" t="s">
        <v>97</v>
      </c>
      <c r="S57" s="32" t="s">
        <v>23</v>
      </c>
      <c r="T57" s="12"/>
      <c r="U57" s="15"/>
      <c r="W57" s="10">
        <f>(V55/$V$33)</f>
        <v>1677.9304872538635</v>
      </c>
      <c r="X57" s="15">
        <f>(X55/$F$33)</f>
        <v>1808.8079274848826</v>
      </c>
      <c r="Z57" s="48">
        <f>SUM($V$43:$V$54)/($T$46*$V$9)</f>
        <v>1.1230428680403879</v>
      </c>
      <c r="AB57" s="52"/>
    </row>
    <row r="58" spans="2:29" ht="15">
      <c r="B58" s="17"/>
      <c r="C58" s="17"/>
      <c r="D58" s="17"/>
      <c r="E58" s="42"/>
      <c r="F58" s="40"/>
      <c r="G58" s="40"/>
      <c r="H58" s="40"/>
      <c r="L58" s="55">
        <f>IF($F$23=0,0,((($F$55-$F$43)*0.5+$F$18)*($F$23/365)))</f>
        <v>455273.14613698632</v>
      </c>
      <c r="M58" t="s">
        <v>35</v>
      </c>
      <c r="R58" s="12"/>
      <c r="S58" s="12"/>
      <c r="T58" s="12"/>
      <c r="U58" s="42"/>
      <c r="V58" s="40"/>
      <c r="W58" s="40"/>
      <c r="X58" s="40"/>
      <c r="Z58" s="17"/>
      <c r="AB58" s="55">
        <f>IF($V$23=0,0,((($V$55-$V$43)*0.5+$V$18)*($V$23/365)))</f>
        <v>152067.66668493152</v>
      </c>
      <c r="AC58" t="s">
        <v>35</v>
      </c>
    </row>
    <row r="59" spans="2:29" ht="15">
      <c r="B59" s="17" t="s">
        <v>239</v>
      </c>
      <c r="C59" s="31" t="s">
        <v>198</v>
      </c>
      <c r="D59" s="165">
        <f>K57</f>
        <v>1.1230428680403879</v>
      </c>
      <c r="K59" s="26">
        <f>(F43+SUM(F46:F54))/F33</f>
        <v>1677.9304872538635</v>
      </c>
      <c r="L59" s="56">
        <f>(F61+F54+F43)</f>
        <v>-40551.825428450014</v>
      </c>
      <c r="M59" t="s">
        <v>38</v>
      </c>
      <c r="Z59" s="48">
        <f>SUM($X$42:$X$54)/($T$46*$V$9)</f>
        <v>1.2106394502321689</v>
      </c>
      <c r="AB59" s="56">
        <f>(V61+V54+V43)</f>
        <v>6560.1745715499856</v>
      </c>
      <c r="AC59" t="s">
        <v>38</v>
      </c>
    </row>
    <row r="60" spans="2:29" ht="15.45">
      <c r="B60" s="17"/>
      <c r="C60" s="164"/>
      <c r="D60" s="165"/>
      <c r="E60" s="17"/>
      <c r="F60" s="9" t="s">
        <v>13</v>
      </c>
      <c r="G60" s="17"/>
      <c r="H60" s="1" t="s">
        <v>31</v>
      </c>
      <c r="L60" s="52">
        <f>(L59/L58)*100</f>
        <v>-8.9071419591807963</v>
      </c>
      <c r="M60" t="s">
        <v>37</v>
      </c>
      <c r="R60" s="1"/>
      <c r="S60" s="12"/>
      <c r="T60" s="12"/>
      <c r="U60" s="17"/>
      <c r="V60" s="9" t="s">
        <v>13</v>
      </c>
      <c r="W60" s="17"/>
      <c r="X60" s="1" t="s">
        <v>31</v>
      </c>
      <c r="Z60" s="17"/>
      <c r="AB60" s="52">
        <f>(AB59/AB58)*100</f>
        <v>4.3139838432202611</v>
      </c>
      <c r="AC60" t="s">
        <v>37</v>
      </c>
    </row>
    <row r="61" spans="2:29" ht="15.45">
      <c r="B61" s="9" t="s">
        <v>111</v>
      </c>
      <c r="C61" s="12"/>
      <c r="D61" s="12"/>
      <c r="E61" s="9"/>
      <c r="F61" s="212">
        <f>(F36-F55)</f>
        <v>-50551.825428450014</v>
      </c>
      <c r="G61" s="125"/>
      <c r="H61" s="212">
        <f>(F36-H55)</f>
        <v>-72227.135775504867</v>
      </c>
      <c r="R61" s="9" t="s">
        <v>112</v>
      </c>
      <c r="S61" s="12"/>
      <c r="T61" s="12"/>
      <c r="U61" s="9" t="s">
        <v>46</v>
      </c>
      <c r="V61" s="10">
        <f>(V36-V55)</f>
        <v>6560.1745715499856</v>
      </c>
      <c r="W61" s="40"/>
      <c r="X61" s="10">
        <f>(V36-X55)</f>
        <v>-3415.2374878336559</v>
      </c>
    </row>
    <row r="62" spans="2:29" ht="15.45">
      <c r="B62" s="1"/>
      <c r="C62" s="12"/>
      <c r="D62" s="12"/>
      <c r="E62" s="9"/>
      <c r="F62" s="96"/>
      <c r="H62" s="189"/>
      <c r="L62" s="54"/>
      <c r="R62" s="1"/>
      <c r="S62" s="12"/>
      <c r="T62" s="12"/>
      <c r="U62" s="9"/>
      <c r="V62" s="96"/>
      <c r="W62" s="40"/>
      <c r="X62" s="96"/>
      <c r="AB62" s="54"/>
    </row>
    <row r="63" spans="2:29" ht="15.45">
      <c r="B63" s="1"/>
      <c r="C63" s="12"/>
      <c r="D63" s="12"/>
      <c r="E63" s="9"/>
      <c r="G63" s="220" t="s">
        <v>240</v>
      </c>
      <c r="H63" s="220"/>
      <c r="R63" s="1"/>
      <c r="S63" s="12"/>
      <c r="T63" s="12"/>
      <c r="U63" s="9"/>
      <c r="W63" s="25" t="s">
        <v>36</v>
      </c>
      <c r="X63" s="15"/>
    </row>
    <row r="64" spans="2:29" ht="15.45">
      <c r="B64" s="1"/>
      <c r="C64" s="12"/>
      <c r="D64" s="12"/>
      <c r="E64" s="1"/>
      <c r="F64" s="15"/>
      <c r="G64" s="189" t="s">
        <v>241</v>
      </c>
      <c r="H64" s="190" t="s">
        <v>242</v>
      </c>
      <c r="R64" s="1"/>
      <c r="S64" s="12"/>
      <c r="T64" s="12"/>
      <c r="U64" s="1"/>
      <c r="V64" s="15"/>
      <c r="W64" s="25" t="s">
        <v>33</v>
      </c>
      <c r="X64" s="15" t="s">
        <v>34</v>
      </c>
    </row>
    <row r="65" spans="2:24" ht="15.45">
      <c r="B65" s="1" t="s">
        <v>75</v>
      </c>
      <c r="C65" s="12"/>
      <c r="D65" s="12"/>
      <c r="F65" s="191">
        <f>IF($F$23=0,0,(($F$43+$F$54+$F$61)/((($F$55-$F$43)*0.5+$F$18)*($F$23/365)))*100)</f>
        <v>-8.9071419591807963</v>
      </c>
      <c r="G65" s="192">
        <f>IF(F23=0,0,((($L$51+$H$54)/((($H$55-H43)*0.5+$F$18)*($F$23/365)))*100))</f>
        <v>6.5846741484899249</v>
      </c>
      <c r="H65" s="192">
        <f>IF($F$23=0,0,(($L$51+$H$54+$H$61)/((($H$55)*0.5+$F$18)*($F$23/365)))*100)</f>
        <v>-8.4299270834963878</v>
      </c>
      <c r="R65" s="1" t="s">
        <v>75</v>
      </c>
      <c r="S65" s="12"/>
      <c r="T65" s="12"/>
      <c r="V65" s="51">
        <f>IF($V$23=0,0,(($V$43+$V$54+$V$61)/((($V$55-$V$43)*0.5+$V$18)*($V$23/365)))*100)</f>
        <v>4.3139838432202611</v>
      </c>
      <c r="W65" s="46">
        <f>IF(V23=0,0,((($AB$51+$X$54)/((($X$55-X43)*0.5+$V$18)*($V$23/365)))*100))</f>
        <v>6.0852086574427053</v>
      </c>
      <c r="X65" s="46">
        <f>IF($V$23=0,0,(($AB$51+$X$54+$X$61)/((($X$55)*0.5+$V$18)*($V$23/365)))*100)</f>
        <v>4.0018428170673488</v>
      </c>
    </row>
    <row r="66" spans="2:24" ht="15.45">
      <c r="B66" s="1"/>
      <c r="C66" s="12"/>
      <c r="D66" s="12"/>
      <c r="G66" s="53"/>
      <c r="R66" s="1"/>
      <c r="S66" s="12"/>
      <c r="T66" s="12"/>
      <c r="W66" s="53"/>
    </row>
    <row r="67" spans="2:24" ht="15">
      <c r="B67" s="11" t="s">
        <v>7</v>
      </c>
      <c r="C67" s="11"/>
      <c r="D67" s="49"/>
      <c r="E67" s="11"/>
      <c r="F67" s="36"/>
      <c r="G67" s="36"/>
      <c r="H67" s="36"/>
      <c r="R67" s="11" t="s">
        <v>7</v>
      </c>
      <c r="S67" s="11"/>
      <c r="T67" s="49"/>
      <c r="U67" s="11"/>
      <c r="V67" s="36"/>
      <c r="W67" s="36"/>
      <c r="X67" s="36"/>
    </row>
    <row r="68" spans="2:24">
      <c r="B68" t="s">
        <v>76</v>
      </c>
      <c r="F68" s="16"/>
      <c r="R68" t="s">
        <v>76</v>
      </c>
      <c r="V68" s="16"/>
    </row>
    <row r="69" spans="2:24">
      <c r="B69" t="s">
        <v>77</v>
      </c>
      <c r="F69" s="16"/>
      <c r="R69" t="s">
        <v>77</v>
      </c>
      <c r="V69" s="16"/>
    </row>
    <row r="70" spans="2:24">
      <c r="B70" s="28"/>
      <c r="F70" s="16"/>
    </row>
    <row r="71" spans="2:24" ht="15">
      <c r="B71" s="17"/>
      <c r="F71" s="16"/>
    </row>
    <row r="72" spans="2:24" ht="15">
      <c r="B72" s="17"/>
      <c r="F72" s="16"/>
    </row>
    <row r="73" spans="2:24" ht="15">
      <c r="B73" s="17"/>
      <c r="C73" s="17"/>
      <c r="F73" s="16"/>
    </row>
    <row r="75" spans="2:24" ht="15">
      <c r="C75" s="17"/>
    </row>
    <row r="76" spans="2:24">
      <c r="C76" s="26"/>
      <c r="H76" s="27"/>
    </row>
    <row r="77" spans="2:24">
      <c r="C77" s="26"/>
    </row>
    <row r="78" spans="2:24">
      <c r="C78" s="26"/>
      <c r="H78" s="27"/>
    </row>
    <row r="79" spans="2:24">
      <c r="C79" s="26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90" spans="3:3">
      <c r="C90" s="29"/>
    </row>
  </sheetData>
  <sheetProtection sheet="1" objects="1" scenarios="1"/>
  <mergeCells count="3">
    <mergeCell ref="B1:H1"/>
    <mergeCell ref="R1:X1"/>
    <mergeCell ref="G63:H63"/>
  </mergeCells>
  <phoneticPr fontId="0" type="noConversion"/>
  <printOptions horizontalCentered="1"/>
  <pageMargins left="0.75" right="0.75" top="0.75" bottom="0.75" header="0.5" footer="0.5"/>
  <pageSetup scale="66" orientation="portrait" r:id="rId1"/>
  <headerFooter alignWithMargins="0">
    <oddFooter>&amp;L&amp;F&amp;R&amp;A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R31"/>
  <sheetViews>
    <sheetView topLeftCell="A21" zoomScaleNormal="100" workbookViewId="0">
      <selection activeCell="B14" sqref="B14"/>
    </sheetView>
  </sheetViews>
  <sheetFormatPr defaultRowHeight="12.45"/>
  <cols>
    <col min="1" max="1" width="48.69140625" customWidth="1"/>
    <col min="2" max="2" width="11.4609375" customWidth="1"/>
    <col min="3" max="3" width="3.23046875" customWidth="1"/>
    <col min="4" max="8" width="12.69140625" customWidth="1"/>
    <col min="10" max="10" width="12.4609375" customWidth="1"/>
    <col min="12" max="12" width="13.53515625" customWidth="1"/>
    <col min="13" max="13" width="11.23046875" customWidth="1"/>
    <col min="15" max="15" width="12.69140625" customWidth="1"/>
    <col min="17" max="17" width="13.23046875" customWidth="1"/>
    <col min="18" max="18" width="11.53515625" customWidth="1"/>
  </cols>
  <sheetData>
    <row r="1" spans="1:18" ht="17.600000000000001">
      <c r="A1" s="218" t="s">
        <v>173</v>
      </c>
      <c r="B1" s="218"/>
      <c r="C1" s="218"/>
      <c r="D1" s="218"/>
      <c r="E1" s="218"/>
      <c r="F1" s="218"/>
      <c r="G1" s="218"/>
      <c r="H1" s="218"/>
    </row>
    <row r="2" spans="1:18" ht="15">
      <c r="A2" s="17"/>
      <c r="B2" s="78"/>
      <c r="C2" s="17"/>
      <c r="D2" s="76"/>
    </row>
    <row r="3" spans="1:18" ht="15">
      <c r="A3" s="17"/>
      <c r="B3" s="78"/>
      <c r="C3" s="17"/>
      <c r="D3" s="76"/>
    </row>
    <row r="4" spans="1:18" ht="15">
      <c r="A4" s="76" t="s">
        <v>110</v>
      </c>
      <c r="B4" s="78"/>
      <c r="C4" s="17"/>
    </row>
    <row r="5" spans="1:18" ht="15.45">
      <c r="B5" s="79"/>
      <c r="C5" s="17"/>
      <c r="D5" s="76"/>
      <c r="F5" s="24"/>
      <c r="H5" s="80"/>
    </row>
    <row r="6" spans="1:18" ht="15">
      <c r="E6" s="17"/>
      <c r="F6" s="17"/>
      <c r="H6" s="17"/>
    </row>
    <row r="7" spans="1:18" ht="15.45">
      <c r="A7" s="76" t="str">
        <f>'2. Bred Heifer Budget'!B54</f>
        <v>Target Net Financial Margin Per Head Objective</v>
      </c>
      <c r="B7" s="23" t="s">
        <v>6</v>
      </c>
      <c r="C7" s="17"/>
      <c r="D7" s="92">
        <f>'2. Bred Heifer Budget'!E54</f>
        <v>100</v>
      </c>
      <c r="E7" s="17"/>
      <c r="F7" s="17"/>
      <c r="G7" s="17"/>
      <c r="H7" s="17"/>
    </row>
    <row r="8" spans="1:18" ht="15">
      <c r="A8" s="76"/>
      <c r="B8" s="77"/>
      <c r="C8" s="17"/>
      <c r="D8" s="17"/>
      <c r="E8" s="17"/>
      <c r="F8" s="17"/>
      <c r="G8" s="17"/>
      <c r="H8" s="17"/>
      <c r="J8" s="84">
        <f>'2. Bred Heifer Budget'!E41</f>
        <v>0</v>
      </c>
      <c r="K8" t="s">
        <v>59</v>
      </c>
      <c r="P8" t="s">
        <v>27</v>
      </c>
      <c r="R8" t="s">
        <v>55</v>
      </c>
    </row>
    <row r="9" spans="1:18" ht="15">
      <c r="C9" s="17"/>
      <c r="D9" s="17"/>
      <c r="E9" s="17"/>
      <c r="F9" s="17"/>
      <c r="G9" s="17"/>
      <c r="H9" s="17"/>
      <c r="J9" s="43">
        <f>('2. Bred Heifer Budget'!$G$41*('2. Bred Heifer Budget'!$D$46/365))</f>
        <v>9.1081027397260268</v>
      </c>
      <c r="K9" t="s">
        <v>63</v>
      </c>
    </row>
    <row r="10" spans="1:18" ht="15">
      <c r="A10" s="17"/>
      <c r="B10" s="17"/>
      <c r="C10" s="17"/>
      <c r="D10" s="221" t="s">
        <v>170</v>
      </c>
      <c r="E10" s="221"/>
      <c r="F10" s="221"/>
      <c r="G10" s="221"/>
      <c r="H10" s="221"/>
      <c r="J10" t="s">
        <v>51</v>
      </c>
      <c r="M10" t="s">
        <v>54</v>
      </c>
      <c r="P10" s="26">
        <f>B23</f>
        <v>650</v>
      </c>
      <c r="Q10" s="45">
        <f>($P10*'4. PairBudget'!$F$9)*(('4. PairBudget'!$D$46/365)*'4. PairBudget'!$G$41*0.01)</f>
        <v>10139.911849315067</v>
      </c>
      <c r="R10" s="27">
        <f>($Q10*'4. PairBudget'!$E$41*0.01)+$M$11</f>
        <v>0</v>
      </c>
    </row>
    <row r="11" spans="1:18" ht="15">
      <c r="A11" s="76" t="s">
        <v>48</v>
      </c>
      <c r="B11" s="17"/>
      <c r="C11" s="17"/>
      <c r="D11" s="221" t="s">
        <v>100</v>
      </c>
      <c r="E11" s="221"/>
      <c r="F11" s="221"/>
      <c r="G11" s="221"/>
      <c r="H11" s="221"/>
      <c r="J11" s="45">
        <f>((SUM('4. PairBudget'!$F$45:$F$51)*0.5*(('4. PairBudget'!$D$46/365)*'4. PairBudget'!$G$41*0.01)))</f>
        <v>10590.670710671302</v>
      </c>
      <c r="K11" t="s">
        <v>52</v>
      </c>
      <c r="M11" s="27">
        <f>('4. PairBudget'!$L$44*'4. PairBudget'!$E$41*0.01)</f>
        <v>0</v>
      </c>
      <c r="P11" s="26">
        <f>B24</f>
        <v>750</v>
      </c>
      <c r="Q11" s="45">
        <f>($P11*'4. PairBudget'!$F$9*(('4. PairBudget'!$F$23/365)*'4. PairBudget'!$G$41*0.01))</f>
        <v>8917.8082191780813</v>
      </c>
      <c r="R11" s="27">
        <f>($Q11*'4. PairBudget'!$E$41*0.01)+$M$11</f>
        <v>0</v>
      </c>
    </row>
    <row r="12" spans="1:18" ht="15">
      <c r="A12" s="17"/>
      <c r="B12" s="23" t="s">
        <v>6</v>
      </c>
      <c r="C12" s="17"/>
      <c r="D12" s="17"/>
      <c r="E12" s="17"/>
      <c r="F12" s="17"/>
      <c r="G12" s="81" t="s">
        <v>49</v>
      </c>
      <c r="H12" s="17"/>
      <c r="P12" s="26">
        <f>B25</f>
        <v>850</v>
      </c>
      <c r="Q12" s="45">
        <f>($P12*'4. PairBudget'!$F$9)*(('4. PairBudget'!$D$46/365)*'4. PairBudget'!$G$41*0.01)</f>
        <v>13259.884726027396</v>
      </c>
      <c r="R12" s="27">
        <f>($Q12*'4. PairBudget'!$E$41*0.01)+$M$11</f>
        <v>0</v>
      </c>
    </row>
    <row r="13" spans="1:18" ht="15">
      <c r="A13" s="76" t="s">
        <v>99</v>
      </c>
      <c r="B13" s="33">
        <v>50</v>
      </c>
      <c r="C13" s="82"/>
      <c r="D13" s="221" t="s">
        <v>67</v>
      </c>
      <c r="E13" s="221"/>
      <c r="F13" s="221"/>
      <c r="G13" s="221"/>
      <c r="H13" s="221"/>
      <c r="J13" s="45">
        <f>('4. PairBudget'!$F$16*'4. PairBudget'!$F$9)*(('4. PairBudget'!$D$46/365)*'4. PairBudget'!$G$41*0.01)</f>
        <v>13259.884726027396</v>
      </c>
      <c r="K13" t="s">
        <v>27</v>
      </c>
      <c r="M13" s="27">
        <f>('4. PairBudget'!$L$46*'4. PairBudget'!$E$41*0.01)</f>
        <v>0</v>
      </c>
      <c r="P13" s="26">
        <f>B26</f>
        <v>950</v>
      </c>
      <c r="Q13" s="45">
        <f>($P13*'4. PairBudget'!$F$9)*(('4. PairBudget'!$F$23/365)*'4. PairBudget'!$G$41*0.01)</f>
        <v>11295.890410958904</v>
      </c>
      <c r="R13" s="27">
        <f>($Q13*'4. PairBudget'!$E$41*0.01)+$M$11</f>
        <v>0</v>
      </c>
    </row>
    <row r="14" spans="1:18" ht="15">
      <c r="A14" s="76" t="s">
        <v>88</v>
      </c>
      <c r="B14" s="33">
        <v>100</v>
      </c>
      <c r="C14" s="17"/>
      <c r="D14" s="36" t="s">
        <v>7</v>
      </c>
      <c r="E14" s="36"/>
      <c r="F14" s="36"/>
      <c r="G14" s="36"/>
      <c r="H14" s="36"/>
      <c r="P14" s="26">
        <f>B27</f>
        <v>1050</v>
      </c>
      <c r="Q14" s="45">
        <f>($P14*'4. PairBudget'!$F$9)*(('4. PairBudget'!$D$46/365)*'4. PairBudget'!$G$41*0.01)</f>
        <v>16379.857602739725</v>
      </c>
      <c r="R14" s="27">
        <f>($Q14*'4. PairBudget'!$E$41*0.01)+$M$11</f>
        <v>0</v>
      </c>
    </row>
    <row r="15" spans="1:18" ht="15">
      <c r="A15" s="17"/>
      <c r="B15" s="17"/>
      <c r="C15" s="17"/>
      <c r="D15" s="221" t="s">
        <v>65</v>
      </c>
      <c r="E15" s="221"/>
      <c r="F15" s="23" t="s">
        <v>50</v>
      </c>
      <c r="G15" s="221" t="s">
        <v>66</v>
      </c>
      <c r="H15" s="221"/>
      <c r="J15" s="44">
        <f>(L19+J13)</f>
        <v>23852.505419746645</v>
      </c>
      <c r="K15" t="s">
        <v>53</v>
      </c>
      <c r="M15" s="44">
        <f>(M11+M13)</f>
        <v>0</v>
      </c>
      <c r="P15" s="26"/>
    </row>
    <row r="16" spans="1:18" ht="15.45">
      <c r="A16" s="90" t="s">
        <v>90</v>
      </c>
      <c r="B16" s="23" t="s">
        <v>6</v>
      </c>
      <c r="C16" s="17"/>
      <c r="D16" s="193"/>
      <c r="E16" s="193"/>
      <c r="F16" s="174">
        <f>'4. PairBudget'!K59</f>
        <v>1677.9304872538635</v>
      </c>
      <c r="G16" s="193"/>
      <c r="H16" s="193"/>
      <c r="K16" t="s">
        <v>64</v>
      </c>
      <c r="M16" t="s">
        <v>56</v>
      </c>
      <c r="N16" t="s">
        <v>58</v>
      </c>
      <c r="O16" t="s">
        <v>61</v>
      </c>
    </row>
    <row r="17" spans="1:15" ht="15">
      <c r="A17" s="76" t="s">
        <v>89</v>
      </c>
      <c r="B17" s="23" t="s">
        <v>6</v>
      </c>
      <c r="C17" s="17"/>
      <c r="D17" s="127">
        <f>B13*2*-1</f>
        <v>-100</v>
      </c>
      <c r="E17" s="127">
        <f>B13*-1</f>
        <v>-50</v>
      </c>
      <c r="F17" s="127"/>
      <c r="G17" s="127">
        <f>B13*1</f>
        <v>50</v>
      </c>
      <c r="H17" s="127">
        <f>B13*2</f>
        <v>100</v>
      </c>
      <c r="K17" t="s">
        <v>62</v>
      </c>
      <c r="L17" t="s">
        <v>57</v>
      </c>
      <c r="M17" t="s">
        <v>60</v>
      </c>
      <c r="N17" s="28" t="s">
        <v>57</v>
      </c>
      <c r="O17" s="28" t="s">
        <v>56</v>
      </c>
    </row>
    <row r="18" spans="1:15" ht="15">
      <c r="A18" s="76"/>
      <c r="B18" s="23" t="s">
        <v>190</v>
      </c>
      <c r="C18" s="17"/>
      <c r="D18" s="194">
        <f>D17/'4. PairBudget'!$D$46</f>
        <v>-8.7812495033105759E-2</v>
      </c>
      <c r="E18" s="194">
        <f>E17/'4. PairBudget'!$D$46</f>
        <v>-4.3906247516552879E-2</v>
      </c>
      <c r="F18" s="194"/>
      <c r="G18" s="194">
        <f>G17/'4. PairBudget'!$F$23</f>
        <v>5.7603686635944701E-2</v>
      </c>
      <c r="H18" s="194">
        <f>H17/'4. PairBudget'!$D$46</f>
        <v>8.7812495033105759E-2</v>
      </c>
      <c r="N18" s="28"/>
      <c r="O18" s="28"/>
    </row>
    <row r="19" spans="1:15" ht="15">
      <c r="A19" s="76" t="s">
        <v>116</v>
      </c>
      <c r="B19" s="23" t="s">
        <v>6</v>
      </c>
      <c r="C19" s="17"/>
      <c r="D19" s="153">
        <f>($F$19+D17)</f>
        <v>1577.9304872538635</v>
      </c>
      <c r="E19" s="153">
        <f>($F$19+E17)</f>
        <v>1627.9304872538635</v>
      </c>
      <c r="F19" s="153">
        <f>F16</f>
        <v>1677.9304872538635</v>
      </c>
      <c r="G19" s="153">
        <f>($F$19+G17)</f>
        <v>1727.9304872538635</v>
      </c>
      <c r="H19" s="153">
        <f>($F$19+H17)</f>
        <v>1777.9304872538635</v>
      </c>
      <c r="K19" s="89">
        <f>G17</f>
        <v>50</v>
      </c>
      <c r="L19" s="45">
        <f>((SUM('4. PairBudget'!$F$45:$F$51)+M19)*0.5*(('4. PairBudget'!$D$46/365)*'4. PairBudget'!$G$41*0.01))</f>
        <v>10592.620693719247</v>
      </c>
      <c r="M19" s="44">
        <f>($B$13*0.5)</f>
        <v>25</v>
      </c>
      <c r="N19" s="27">
        <f>L19-$J$11</f>
        <v>1.9499830479453522</v>
      </c>
      <c r="O19" s="88">
        <f>(B13+N19)*'4. PairBudget'!F33</f>
        <v>3959.6013374536246</v>
      </c>
    </row>
    <row r="20" spans="1:15">
      <c r="D20" s="93"/>
      <c r="E20" s="93"/>
      <c r="F20" s="93"/>
      <c r="G20" s="93"/>
      <c r="H20" s="93"/>
      <c r="K20" s="89"/>
      <c r="M20" s="44"/>
    </row>
    <row r="21" spans="1:15" ht="15">
      <c r="A21" s="17"/>
      <c r="B21" s="17"/>
      <c r="C21" s="17"/>
      <c r="D21" s="222" t="s">
        <v>169</v>
      </c>
      <c r="E21" s="222"/>
      <c r="F21" s="222"/>
      <c r="G21" s="222"/>
      <c r="H21" s="222"/>
      <c r="K21" s="89">
        <f>H17</f>
        <v>100</v>
      </c>
      <c r="L21" s="45">
        <f>((SUM('4. PairBudget'!$F$45:$F$51)+M21)*0.5*(('4. PairBudget'!$D$46/365)*'4. PairBudget'!$G$41*0.01))</f>
        <v>10594.570676767193</v>
      </c>
      <c r="M21" s="44">
        <f>($H$17*0.5)</f>
        <v>50</v>
      </c>
      <c r="N21" s="27">
        <f>L21-$J$11</f>
        <v>3.8999660958907043</v>
      </c>
      <c r="O21" s="88">
        <f>(H17+N21)*'4. PairBudget'!F33</f>
        <v>7919.2026749072493</v>
      </c>
    </row>
    <row r="22" spans="1:15" ht="15">
      <c r="A22" s="17"/>
      <c r="B22" s="23" t="s">
        <v>87</v>
      </c>
      <c r="C22" s="17"/>
      <c r="D22" s="94" t="s">
        <v>7</v>
      </c>
      <c r="E22" s="94"/>
      <c r="F22" s="94"/>
      <c r="G22" s="94"/>
      <c r="H22" s="94"/>
      <c r="K22" s="89"/>
    </row>
    <row r="23" spans="1:15" ht="15">
      <c r="A23" s="17"/>
      <c r="B23" s="153">
        <f>B25-2*B14</f>
        <v>650</v>
      </c>
      <c r="C23" s="17"/>
      <c r="D23" s="95">
        <f>($B23*'4. PairBudget'!$F$9+SUM('4. PairBudget'!$F$45:$F$54)+$R10+$O$25+'4. PairBudget'!$F$32*'4. PairBudget'!$F$33)/(1-('4. PairBudget'!$E$31*0.01))/'4. PairBudget'!$F$33</f>
        <v>-92.419859254184956</v>
      </c>
      <c r="E23" s="95">
        <f>($B23*'4. PairBudget'!$F$9+SUM('4. PairBudget'!$F$45:$F$54)+$R10+$O$23+'4. PairBudget'!$F$32*'4. PairBudget'!$F$33)/(1-('4. PairBudget'!$E$31*0.01))/'4. PairBudget'!$F$33</f>
        <v>2529.3680875798254</v>
      </c>
      <c r="F23" s="95">
        <f>($B23*'4. PairBudget'!$F$9+SUM('4. PairBudget'!$F$45:$F$54)+$R10+'4. PairBudget'!$F$32*'4. PairBudget'!$F$33)/(1-('4. PairBudget'!$E$31*0.01))/'4. PairBudget'!$F$33</f>
        <v>2582.3782743634429</v>
      </c>
      <c r="G23" s="95">
        <f>($B23*'4. PairBudget'!F$9+SUM('4. PairBudget'!$F$45:$F$54)+$R10+$O$19+'4. PairBudget'!$F$32*'4. PairBudget'!$F$33)/(1-('4. PairBudget'!$E$31*0.01))/'4. PairBudget'!$F$33</f>
        <v>2635.3884611470603</v>
      </c>
      <c r="H23" s="95">
        <f>($B23*'4. PairBudget'!$F$9+SUM('4. PairBudget'!$F$45:$F$54)+$R10+$O$21+'4. PairBudget'!$F$32*'4. PairBudget'!$F$33)/(1-('4. PairBudget'!$E$31*0.01))/'4. PairBudget'!$F$33</f>
        <v>2688.3986479306782</v>
      </c>
      <c r="K23" s="89">
        <f>E17</f>
        <v>-50</v>
      </c>
      <c r="L23" s="45">
        <f>((SUM('4. PairBudget'!$F$45:$F$51)+M23)*0.5*(('4. PairBudget'!$D$46/365)*'4. PairBudget'!$G$41*0.01))</f>
        <v>10588.720727623357</v>
      </c>
      <c r="M23" s="44">
        <f>($E$17*0.5)</f>
        <v>-25</v>
      </c>
      <c r="N23" s="27">
        <f>L23-$J$11</f>
        <v>-1.9499830479453522</v>
      </c>
      <c r="O23" s="88">
        <f>(E17+N23)*'4. PairBudget'!$F$33</f>
        <v>-3959.6013374536246</v>
      </c>
    </row>
    <row r="24" spans="1:15" ht="15">
      <c r="A24" s="17"/>
      <c r="B24" s="153">
        <f>(B25-B14)</f>
        <v>750</v>
      </c>
      <c r="C24" s="17"/>
      <c r="D24" s="95">
        <f>($B24*'4. PairBudget'!$F$9+SUM('4. PairBudget'!$F$45:$F$54)+$R11+$O$25+'4. PairBudget'!$F$32*'4. PairBudget'!$F$33)/(1-('4. PairBudget'!$E$31*0.01))/'4. PairBudget'!$F$33</f>
        <v>41.4577265577947</v>
      </c>
      <c r="E24" s="95">
        <f>($B24*'4. PairBudget'!$F$9+SUM('4. PairBudget'!$F$45:$F$54)+$R11+$O$23+'4. PairBudget'!$F$32*'4. PairBudget'!$F$33)/(1-('4. PairBudget'!$E$31*0.01))/'4. PairBudget'!$F$33</f>
        <v>2663.2456733918048</v>
      </c>
      <c r="F24" s="95">
        <f>($B24*'4. PairBudget'!$F$9+SUM('4. PairBudget'!$F$45:$F$54)+$R11+'4. PairBudget'!$F$32*'4. PairBudget'!$F$33)/(1-('4. PairBudget'!$E$31*0.01))/'4. PairBudget'!$F$33</f>
        <v>2716.2558601754226</v>
      </c>
      <c r="G24" s="95">
        <f>($B24*'4. PairBudget'!F$9+SUM('4. PairBudget'!$F$45:$F$54)+$R11+$O$19+'4. PairBudget'!$F$32*'4. PairBudget'!$F$33)/(1-('4. PairBudget'!$E$31*0.01))/'4. PairBudget'!$F$33</f>
        <v>2769.2660469590401</v>
      </c>
      <c r="H24" s="95">
        <f>($B24*'4. PairBudget'!$F$9+SUM('4. PairBudget'!$F$45:$F$54)+$R11+$O$21+'4. PairBudget'!$F$32*'4. PairBudget'!$F$33)/(1-('4. PairBudget'!$E$31*0.01))/'4. PairBudget'!$F$33</f>
        <v>2822.276233742658</v>
      </c>
      <c r="K24" s="89"/>
    </row>
    <row r="25" spans="1:15" ht="15">
      <c r="A25" s="76" t="s">
        <v>243</v>
      </c>
      <c r="B25" s="195">
        <f>('4. PairBudget'!F16)</f>
        <v>850</v>
      </c>
      <c r="C25" s="17"/>
      <c r="D25" s="95">
        <f>($B25*'4. PairBudget'!$F$9+SUM('4. PairBudget'!$F$45:$F$54)+$R12+$O$25+'4. PairBudget'!$F$32*'4. PairBudget'!$F$33)/(1-('4. PairBudget'!$E$31*0.01))/'4. PairBudget'!$F$33</f>
        <v>175.33531236977436</v>
      </c>
      <c r="E25" s="95">
        <f>($B25*'4. PairBudget'!$F$9+SUM('4. PairBudget'!$F$45:$F$54)+$R12+$O$23+'4. PairBudget'!$F$32*'4. PairBudget'!$F$33)/(1-('4. PairBudget'!$E$31*0.01))/'4. PairBudget'!$F$33</f>
        <v>2797.1232592037845</v>
      </c>
      <c r="F25" s="95">
        <f>($B25*'4. PairBudget'!$F$9+SUM('4. PairBudget'!$F$45:$F$54)+$R12+'4. PairBudget'!$F$32*'4. PairBudget'!$F$33)/(1-('4. PairBudget'!$E$31*0.01))/'4. PairBudget'!$F$33</f>
        <v>2850.1334459874024</v>
      </c>
      <c r="G25" s="95">
        <f>($B25*'4. PairBudget'!F$9+SUM('4. PairBudget'!$F$45:$F$54)+$R12+$O$19+'4. PairBudget'!$F$32*'4. PairBudget'!$F$33)/(1-('4. PairBudget'!$E$31*0.01))/'4. PairBudget'!$F$33</f>
        <v>2903.1436327710198</v>
      </c>
      <c r="H25" s="95">
        <f>($B25*'4. PairBudget'!$F$9+SUM('4. PairBudget'!$F$45:$F$54)+$R12+$O$21+'4. PairBudget'!$F$32*'4. PairBudget'!$F$33)/(1-('4. PairBudget'!$E$31*0.01))/'4. PairBudget'!$F$33</f>
        <v>2956.1538195546377</v>
      </c>
      <c r="K25" s="89">
        <f>D17</f>
        <v>-100</v>
      </c>
      <c r="L25" s="45">
        <f>((SUM('4. PairBudget'!$F$45:$F$51)+M25)*0.5*(('4. PairBudget'!$F$23/365)*'4. PairBudget'!$G$41*0.01))</f>
        <v>8069.3685397260269</v>
      </c>
      <c r="M25" s="44">
        <f>($D$17*0.5)</f>
        <v>-50</v>
      </c>
      <c r="N25" s="27">
        <f>L25-$J$11</f>
        <v>-2521.3021709452751</v>
      </c>
      <c r="O25" s="88">
        <f>(D17+N25)*'4. PairBudget'!F33</f>
        <v>-199794.32086370062</v>
      </c>
    </row>
    <row r="26" spans="1:15" ht="15">
      <c r="A26" s="17"/>
      <c r="B26" s="153">
        <f>B25+B14</f>
        <v>950</v>
      </c>
      <c r="C26" s="17"/>
      <c r="D26" s="95">
        <f>($B26*'4. PairBudget'!$F$9+SUM('4. PairBudget'!$F$45:$F$54)+$R13+$O$25+'4. PairBudget'!$F$32*'4. PairBudget'!$F$33)/(1-('4. PairBudget'!$E$31*0.01))/'4. PairBudget'!$F$33</f>
        <v>309.21289818175404</v>
      </c>
      <c r="E26" s="95">
        <f>($B26*'4. PairBudget'!$F$9+SUM('4. PairBudget'!$F$45:$F$54)+$R13+$O$23+'4. PairBudget'!$F$32*'4. PairBudget'!$F$33)/(1-('4. PairBudget'!$E$31*0.01))/'4. PairBudget'!$F$33</f>
        <v>2931.0008450157643</v>
      </c>
      <c r="F26" s="95">
        <f>($B26*'4. PairBudget'!$F$9+SUM('4. PairBudget'!$F$45:$F$54)+$R13+'4. PairBudget'!$F$32*'4. PairBudget'!$F$33)/(1-('4. PairBudget'!$E$31*0.01))/'4. PairBudget'!$F$33</f>
        <v>2984.0110317993817</v>
      </c>
      <c r="G26" s="95">
        <f>($B26*'4. PairBudget'!F$9+SUM('4. PairBudget'!$F$45:$F$54)+$R13+$O$19+'4. PairBudget'!$F$32*'4. PairBudget'!$F$33)/(1-('4. PairBudget'!$E$31*0.01))/'4. PairBudget'!$F$33</f>
        <v>3037.0212185829996</v>
      </c>
      <c r="H26" s="95">
        <f>($B26*'4. PairBudget'!$F$9+SUM('4. PairBudget'!$F$45:$F$54)+$R13+$O$21+'4. PairBudget'!$F$32*'4. PairBudget'!$F$33)/(1-('4. PairBudget'!$E$31*0.01))/'4. PairBudget'!$F$33</f>
        <v>3090.031405366617</v>
      </c>
    </row>
    <row r="27" spans="1:15" ht="15">
      <c r="A27" s="17"/>
      <c r="B27" s="153">
        <f>B25+2*B14</f>
        <v>1050</v>
      </c>
      <c r="C27" s="17"/>
      <c r="D27" s="95">
        <f>($B27*'4. PairBudget'!$F$9+SUM('4. PairBudget'!$F$45:$F$54)+$R14+$O$25+'4. PairBudget'!$F$32*'4. PairBudget'!$F$33)/(1-('4. PairBudget'!$E$31*0.01))/'4. PairBudget'!$F$33</f>
        <v>443.09048399373364</v>
      </c>
      <c r="E27" s="95">
        <f>($B27*'4. PairBudget'!$F$9+SUM('4. PairBudget'!$F$45:$F$54)+$R14+$O$23+'4. PairBudget'!$F$32*'4. PairBudget'!$F$33)/(1-('4. PairBudget'!$E$31*0.01))/'4. PairBudget'!$F$33</f>
        <v>3064.8784308277441</v>
      </c>
      <c r="F27" s="95">
        <f>($B27*'4. PairBudget'!$F$9+SUM('4. PairBudget'!$F$45:$F$54)+$R14+'4. PairBudget'!$F$32*'4. PairBudget'!$F$33)/(1-('4. PairBudget'!$E$31*0.01))/'4. PairBudget'!$F$33</f>
        <v>3117.8886176113615</v>
      </c>
      <c r="G27" s="95">
        <f>($B27*'4. PairBudget'!F$9+SUM('4. PairBudget'!$F$45:$F$54)+$R14+$O$19+'4. PairBudget'!$F$32*'4. PairBudget'!$F$33)/(1-('4. PairBudget'!$E$31*0.01))/'4. PairBudget'!$F$33</f>
        <v>3170.8988043949789</v>
      </c>
      <c r="H27" s="95">
        <f>($B27*'4. PairBudget'!$F$9+SUM('4. PairBudget'!$F$45:$F$54)+$R14+$O$21+'4. PairBudget'!$F$32*'4. PairBudget'!$F$33)/(1-('4. PairBudget'!$E$31*0.01))/'4. PairBudget'!$F$33</f>
        <v>3223.9089911785968</v>
      </c>
    </row>
    <row r="28" spans="1:15" ht="15">
      <c r="A28" s="17"/>
      <c r="B28" s="17"/>
      <c r="C28" s="17"/>
      <c r="D28" s="36"/>
      <c r="E28" s="36"/>
      <c r="F28" s="36"/>
      <c r="G28" s="36"/>
      <c r="H28" s="36"/>
    </row>
    <row r="29" spans="1:15">
      <c r="A29" s="85" t="s">
        <v>7</v>
      </c>
      <c r="B29" s="85"/>
      <c r="C29" s="85"/>
      <c r="D29" s="85"/>
      <c r="E29" s="85"/>
      <c r="F29" s="85"/>
      <c r="G29" s="85"/>
      <c r="H29" s="85"/>
    </row>
    <row r="30" spans="1:15" ht="15">
      <c r="A30" s="17" t="s">
        <v>98</v>
      </c>
    </row>
    <row r="31" spans="1:15" ht="15">
      <c r="A31" s="17"/>
    </row>
  </sheetData>
  <sheetProtection sheet="1" objects="1" scenarios="1"/>
  <mergeCells count="7">
    <mergeCell ref="D15:E15"/>
    <mergeCell ref="G15:H15"/>
    <mergeCell ref="D21:H21"/>
    <mergeCell ref="A1:H1"/>
    <mergeCell ref="D10:H10"/>
    <mergeCell ref="D11:H11"/>
    <mergeCell ref="D13:H13"/>
  </mergeCells>
  <phoneticPr fontId="0" type="noConversion"/>
  <printOptions horizontalCentered="1"/>
  <pageMargins left="0.75" right="0.75" top="0.75" bottom="0.75" header="0.5" footer="0.5"/>
  <pageSetup scale="71" orientation="portrait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M77"/>
  <sheetViews>
    <sheetView topLeftCell="A55" zoomScaleNormal="100" workbookViewId="0">
      <selection activeCell="B21" sqref="B21"/>
    </sheetView>
  </sheetViews>
  <sheetFormatPr defaultRowHeight="12.45"/>
  <cols>
    <col min="1" max="1" width="48.69140625" customWidth="1"/>
    <col min="4" max="4" width="10.23046875" bestFit="1" customWidth="1"/>
    <col min="5" max="5" width="16.23046875" customWidth="1"/>
    <col min="6" max="6" width="15.69140625" customWidth="1"/>
    <col min="8" max="8" width="9.69140625" bestFit="1" customWidth="1"/>
  </cols>
  <sheetData>
    <row r="1" spans="1:6" ht="17.600000000000001">
      <c r="A1" s="218" t="s">
        <v>252</v>
      </c>
      <c r="B1" s="218"/>
      <c r="C1" s="218"/>
      <c r="D1" s="218"/>
      <c r="E1" s="218"/>
      <c r="F1" s="218"/>
    </row>
    <row r="3" spans="1:6">
      <c r="A3" s="180" t="s">
        <v>233</v>
      </c>
      <c r="B3" s="204" t="str">
        <f>'1. Description'!C3</f>
        <v>Example</v>
      </c>
      <c r="C3" s="149"/>
      <c r="D3" s="149"/>
      <c r="F3" s="181" t="s">
        <v>232</v>
      </c>
    </row>
    <row r="4" spans="1:6">
      <c r="B4" s="133"/>
      <c r="C4" s="150"/>
      <c r="F4" s="179">
        <f ca="1">NOW()</f>
        <v>43384.181040625001</v>
      </c>
    </row>
    <row r="5" spans="1:6">
      <c r="D5" s="28"/>
      <c r="E5" s="28"/>
      <c r="F5" s="148"/>
    </row>
    <row r="6" spans="1:6" ht="15.45">
      <c r="A6" s="1" t="s">
        <v>245</v>
      </c>
      <c r="B6" s="17"/>
      <c r="C6" s="17"/>
      <c r="D6" s="17"/>
      <c r="E6" s="17"/>
      <c r="F6" s="17"/>
    </row>
    <row r="7" spans="1:6" ht="15">
      <c r="A7" s="17" t="s">
        <v>234</v>
      </c>
      <c r="B7" s="17"/>
      <c r="C7" s="17"/>
      <c r="D7" s="17"/>
      <c r="E7" s="17"/>
      <c r="F7" s="168">
        <f>'1. Description'!G7</f>
        <v>43388</v>
      </c>
    </row>
    <row r="8" spans="1:6" ht="15">
      <c r="A8" s="17" t="s">
        <v>125</v>
      </c>
      <c r="B8" s="17"/>
      <c r="C8" s="17"/>
      <c r="D8" s="23" t="s">
        <v>215</v>
      </c>
      <c r="E8" s="17"/>
      <c r="F8" s="169">
        <f>'1. Description'!G8</f>
        <v>100</v>
      </c>
    </row>
    <row r="9" spans="1:6" ht="15">
      <c r="A9" s="17" t="s">
        <v>193</v>
      </c>
      <c r="B9" s="23"/>
      <c r="C9" s="23"/>
      <c r="D9" s="23" t="s">
        <v>180</v>
      </c>
      <c r="E9" s="17"/>
      <c r="F9" s="169">
        <f>'1. Description'!G9</f>
        <v>500</v>
      </c>
    </row>
    <row r="10" spans="1:6" ht="15.45">
      <c r="A10" s="1" t="str">
        <f>'1. Description'!B22</f>
        <v>Heifers Exposed</v>
      </c>
      <c r="F10" s="166">
        <f>'1. Description'!G22</f>
        <v>94.5</v>
      </c>
    </row>
    <row r="11" spans="1:6" ht="15">
      <c r="A11" s="17" t="s">
        <v>133</v>
      </c>
      <c r="B11" s="17"/>
      <c r="C11" s="17"/>
      <c r="D11" s="17"/>
      <c r="E11" s="17"/>
      <c r="F11" s="168">
        <f>'1. Description'!G20</f>
        <v>43556</v>
      </c>
    </row>
    <row r="12" spans="1:6" ht="15.45">
      <c r="A12" s="17" t="s">
        <v>143</v>
      </c>
      <c r="D12" s="23" t="s">
        <v>215</v>
      </c>
      <c r="F12" s="167">
        <f>'1. Description'!G34</f>
        <v>85.05</v>
      </c>
    </row>
    <row r="13" spans="1:6" ht="15">
      <c r="A13" s="17" t="s">
        <v>150</v>
      </c>
      <c r="B13" s="17"/>
      <c r="E13" s="17"/>
      <c r="F13" s="168">
        <f>'1. Description'!G35</f>
        <v>44107</v>
      </c>
    </row>
    <row r="14" spans="1:6" ht="15">
      <c r="E14" s="17"/>
      <c r="F14" s="168"/>
    </row>
    <row r="15" spans="1:6" ht="15.45">
      <c r="A15" s="1" t="s">
        <v>246</v>
      </c>
      <c r="B15" s="17"/>
      <c r="C15" s="17"/>
      <c r="D15" s="23" t="s">
        <v>215</v>
      </c>
      <c r="E15" s="17"/>
      <c r="F15" s="167">
        <f>'1. Description'!G47</f>
        <v>76.219492387499997</v>
      </c>
    </row>
    <row r="16" spans="1:6" ht="15">
      <c r="A16" s="17" t="s">
        <v>247</v>
      </c>
      <c r="B16" s="17"/>
      <c r="C16" s="17"/>
      <c r="D16" s="23"/>
      <c r="E16" s="17"/>
      <c r="F16" s="168">
        <f>'1. Description'!G48</f>
        <v>44256</v>
      </c>
    </row>
    <row r="17" spans="1:13">
      <c r="F17" s="28"/>
    </row>
    <row r="18" spans="1:13" ht="15.45">
      <c r="A18" s="1" t="s">
        <v>163</v>
      </c>
      <c r="B18" s="17"/>
      <c r="C18" s="17"/>
      <c r="D18" s="17"/>
      <c r="E18" s="23" t="s">
        <v>201</v>
      </c>
      <c r="F18" s="23" t="s">
        <v>206</v>
      </c>
    </row>
    <row r="19" spans="1:13" ht="15.45">
      <c r="A19" s="17" t="s">
        <v>248</v>
      </c>
      <c r="B19" s="17"/>
      <c r="C19" s="17"/>
      <c r="D19" s="23" t="s">
        <v>215</v>
      </c>
      <c r="E19" s="9">
        <f>'1. Description'!F51</f>
        <v>100</v>
      </c>
      <c r="F19" s="202">
        <f>'1. Description'!G51</f>
        <v>94.5</v>
      </c>
    </row>
    <row r="20" spans="1:13" ht="15">
      <c r="A20" s="17" t="s">
        <v>140</v>
      </c>
      <c r="B20" s="17"/>
      <c r="C20" s="17"/>
      <c r="D20" s="17"/>
      <c r="E20" s="188">
        <f>'1. Description'!F52</f>
        <v>0.85049999999999992</v>
      </c>
      <c r="F20" s="188">
        <f>'1. Description'!G52</f>
        <v>0.9</v>
      </c>
    </row>
    <row r="21" spans="1:13" ht="15">
      <c r="A21" s="17" t="s">
        <v>202</v>
      </c>
      <c r="B21" s="17"/>
      <c r="C21" s="17"/>
      <c r="D21" s="17"/>
      <c r="E21" s="188">
        <f>'1. Description'!F53</f>
        <v>0.76219492387499999</v>
      </c>
      <c r="F21" s="188">
        <f>'1. Description'!G53</f>
        <v>0.80655547500000002</v>
      </c>
      <c r="H21" s="52"/>
      <c r="I21" s="171"/>
    </row>
    <row r="22" spans="1:13" ht="15">
      <c r="A22" s="17" t="s">
        <v>141</v>
      </c>
      <c r="B22" s="17"/>
      <c r="C22" s="161">
        <f>'1. Description'!E54</f>
        <v>0.89617274999999996</v>
      </c>
      <c r="E22" s="17"/>
    </row>
    <row r="23" spans="1:13" ht="15">
      <c r="A23" s="17" t="s">
        <v>216</v>
      </c>
      <c r="B23" s="17"/>
      <c r="C23" s="17"/>
      <c r="D23" s="23" t="s">
        <v>214</v>
      </c>
      <c r="E23" s="155">
        <f>'1. Description'!F56</f>
        <v>1</v>
      </c>
      <c r="F23" s="173">
        <f>'1. Description'!G56</f>
        <v>0.01</v>
      </c>
    </row>
    <row r="24" spans="1:13" ht="15">
      <c r="A24" s="17" t="s">
        <v>249</v>
      </c>
      <c r="B24" s="17"/>
      <c r="C24" s="17"/>
      <c r="D24" s="23" t="s">
        <v>214</v>
      </c>
      <c r="E24" s="155">
        <f>'1. Description'!G57</f>
        <v>22.955000000000005</v>
      </c>
      <c r="F24" s="198">
        <f>E24/F8</f>
        <v>0.22955000000000006</v>
      </c>
      <c r="L24" s="84">
        <f>SUM(E24+E23+F15)</f>
        <v>100.17449238750001</v>
      </c>
      <c r="M24" t="s">
        <v>217</v>
      </c>
    </row>
    <row r="25" spans="1:13" ht="6.75" customHeight="1">
      <c r="A25" s="17"/>
      <c r="B25" s="17"/>
      <c r="C25" s="17"/>
      <c r="D25" s="17"/>
      <c r="E25" s="17"/>
      <c r="F25" s="155"/>
    </row>
    <row r="26" spans="1:13" ht="15">
      <c r="A26" s="170" t="s">
        <v>213</v>
      </c>
    </row>
    <row r="27" spans="1:13" ht="6.75" customHeight="1">
      <c r="A27" s="170"/>
    </row>
    <row r="28" spans="1:13" ht="15.45">
      <c r="A28" s="1" t="s">
        <v>250</v>
      </c>
      <c r="B28" s="9" t="s">
        <v>2</v>
      </c>
      <c r="C28" s="17"/>
      <c r="D28" s="160">
        <f>F12</f>
        <v>85.05</v>
      </c>
      <c r="E28" s="17"/>
      <c r="F28" s="17"/>
    </row>
    <row r="29" spans="1:13" ht="15">
      <c r="A29" s="17"/>
      <c r="B29" s="23"/>
      <c r="C29" s="17"/>
      <c r="D29" s="17"/>
      <c r="E29" s="17" t="s">
        <v>210</v>
      </c>
      <c r="F29" s="17" t="s">
        <v>211</v>
      </c>
    </row>
    <row r="30" spans="1:13" ht="15">
      <c r="A30" s="17" t="s">
        <v>113</v>
      </c>
      <c r="B30" s="164" t="s">
        <v>182</v>
      </c>
      <c r="C30" s="61"/>
      <c r="D30" s="172">
        <f>'2. Bred Heifer Budget'!E53</f>
        <v>100</v>
      </c>
    </row>
    <row r="31" spans="1:13" ht="15">
      <c r="A31" s="17" t="s">
        <v>218</v>
      </c>
      <c r="B31" s="23" t="s">
        <v>3</v>
      </c>
      <c r="C31" s="61"/>
      <c r="D31" s="65"/>
      <c r="E31" s="17"/>
      <c r="F31" s="161">
        <f>'2. Bred Heifer Budget'!G41*0.01</f>
        <v>0.05</v>
      </c>
    </row>
    <row r="32" spans="1:13" ht="15.45">
      <c r="A32" s="1" t="s">
        <v>221</v>
      </c>
      <c r="B32" s="146" t="s">
        <v>182</v>
      </c>
      <c r="C32" s="1"/>
      <c r="D32" s="15"/>
      <c r="E32" s="213">
        <f>'2. Bred Heifer Budget'!G57</f>
        <v>1693.544356261023</v>
      </c>
      <c r="F32" s="213">
        <f>'2. Bred Heifer Budget'!H57</f>
        <v>1805.4738616182233</v>
      </c>
    </row>
    <row r="33" spans="1:6" ht="15">
      <c r="A33" s="17"/>
      <c r="B33" s="23"/>
      <c r="C33" s="17"/>
      <c r="D33" s="17"/>
      <c r="E33" s="214"/>
      <c r="F33" s="214"/>
    </row>
    <row r="34" spans="1:6" ht="15">
      <c r="A34" s="17" t="s">
        <v>219</v>
      </c>
      <c r="B34" s="164" t="s">
        <v>182</v>
      </c>
      <c r="C34" s="17"/>
      <c r="D34" s="17"/>
      <c r="E34" s="214">
        <f>'2. Bred Heifer Budget'!F34</f>
        <v>1469</v>
      </c>
      <c r="F34" s="214">
        <f>E34</f>
        <v>1469</v>
      </c>
    </row>
    <row r="35" spans="1:6" ht="15">
      <c r="A35" s="76" t="s">
        <v>236</v>
      </c>
      <c r="B35" s="23"/>
      <c r="C35" s="17"/>
      <c r="D35" s="17"/>
      <c r="E35" s="214">
        <f>E34-E32</f>
        <v>-224.54435626102304</v>
      </c>
      <c r="F35" s="214">
        <f>F34-F32</f>
        <v>-336.47386161822328</v>
      </c>
    </row>
    <row r="36" spans="1:6" ht="15">
      <c r="A36" s="17"/>
      <c r="B36" s="23"/>
      <c r="C36" s="17"/>
      <c r="D36" s="17"/>
      <c r="E36" s="214"/>
      <c r="F36" s="214"/>
    </row>
    <row r="37" spans="1:6" ht="15">
      <c r="A37" s="76" t="s">
        <v>235</v>
      </c>
      <c r="B37" s="23" t="s">
        <v>46</v>
      </c>
      <c r="C37" s="17"/>
      <c r="D37" s="17"/>
      <c r="E37" s="214">
        <f>'2. Bred Heifer Budget'!F61</f>
        <v>-1415.4974999999977</v>
      </c>
      <c r="F37" s="214"/>
    </row>
    <row r="38" spans="1:6" ht="15">
      <c r="A38" s="17" t="s">
        <v>208</v>
      </c>
      <c r="B38" s="23" t="s">
        <v>46</v>
      </c>
      <c r="C38" s="17"/>
      <c r="D38" s="17"/>
      <c r="E38" s="214">
        <f>('2. Bred Heifer Budget'!F61+'2. Bred Heifer Budget'!F54)</f>
        <v>8584.5025000000023</v>
      </c>
      <c r="F38" s="214"/>
    </row>
    <row r="39" spans="1:6" ht="15">
      <c r="A39" s="17"/>
      <c r="B39" s="17"/>
      <c r="C39" s="17"/>
      <c r="D39" s="17"/>
      <c r="E39" s="17"/>
      <c r="F39" s="17"/>
    </row>
    <row r="40" spans="1:6" ht="15">
      <c r="A40" s="17" t="s">
        <v>75</v>
      </c>
      <c r="B40" s="17"/>
      <c r="C40" s="17"/>
      <c r="D40" s="17"/>
      <c r="E40" s="161">
        <f>'2. Bred Heifer Budget'!F65*0.01</f>
        <v>2.7754265395359096E-2</v>
      </c>
      <c r="F40" s="17"/>
    </row>
    <row r="41" spans="1:6" ht="15">
      <c r="E41" s="17"/>
      <c r="F41" s="17"/>
    </row>
    <row r="42" spans="1:6" ht="15">
      <c r="C42" s="17"/>
      <c r="D42" s="23" t="s">
        <v>166</v>
      </c>
    </row>
    <row r="43" spans="1:6" ht="15">
      <c r="A43" s="17" t="s">
        <v>231</v>
      </c>
      <c r="B43" s="17"/>
      <c r="C43" s="155"/>
      <c r="D43" s="171">
        <f>((F13-F7)/(365/12))</f>
        <v>23.638356164383559</v>
      </c>
    </row>
    <row r="44" spans="1:6" ht="6.75" customHeight="1">
      <c r="A44" s="17"/>
      <c r="B44" s="17"/>
      <c r="C44" s="155"/>
      <c r="D44" s="171"/>
    </row>
    <row r="45" spans="1:6" ht="15">
      <c r="A45" s="170" t="s">
        <v>220</v>
      </c>
    </row>
    <row r="46" spans="1:6" ht="6.75" customHeight="1">
      <c r="A46" s="170"/>
    </row>
    <row r="47" spans="1:6" ht="15.45">
      <c r="A47" s="1" t="s">
        <v>212</v>
      </c>
      <c r="B47" s="9" t="s">
        <v>209</v>
      </c>
      <c r="C47" s="17"/>
      <c r="D47" s="160">
        <f>'1. Description'!G47</f>
        <v>76.219492387499997</v>
      </c>
      <c r="E47" s="17"/>
      <c r="F47" s="17"/>
    </row>
    <row r="48" spans="1:6" ht="15">
      <c r="A48" s="17"/>
      <c r="B48" s="23"/>
      <c r="C48" s="17"/>
      <c r="D48" s="17"/>
      <c r="E48" s="17" t="s">
        <v>210</v>
      </c>
      <c r="F48" s="17" t="s">
        <v>211</v>
      </c>
    </row>
    <row r="49" spans="1:6" ht="15">
      <c r="A49" s="17" t="s">
        <v>113</v>
      </c>
      <c r="B49" s="164" t="s">
        <v>182</v>
      </c>
      <c r="C49" s="61"/>
      <c r="D49" s="172">
        <f>'4. PairBudget'!E54</f>
        <v>100</v>
      </c>
    </row>
    <row r="50" spans="1:6" ht="15">
      <c r="A50" s="17" t="s">
        <v>251</v>
      </c>
      <c r="B50" s="23" t="s">
        <v>3</v>
      </c>
      <c r="C50" s="61"/>
      <c r="D50" s="65"/>
      <c r="E50" s="23"/>
      <c r="F50" s="188">
        <f>'4. PairBudget'!G41*0.01</f>
        <v>0.05</v>
      </c>
    </row>
    <row r="51" spans="1:6" ht="15.45">
      <c r="A51" s="1" t="s">
        <v>221</v>
      </c>
      <c r="B51" s="146" t="s">
        <v>182</v>
      </c>
      <c r="C51" s="17"/>
      <c r="D51" s="15"/>
      <c r="E51" s="215">
        <f>'4. PairBudget'!G57</f>
        <v>2793.130777067654</v>
      </c>
      <c r="F51" s="215">
        <f>'4. PairBudget'!H57</f>
        <v>3077.5109227245885</v>
      </c>
    </row>
    <row r="52" spans="1:6" ht="15">
      <c r="A52" s="17"/>
      <c r="B52" s="23"/>
      <c r="C52" s="17"/>
      <c r="D52" s="17"/>
      <c r="E52" s="216"/>
      <c r="F52" s="216"/>
    </row>
    <row r="53" spans="1:6" ht="15">
      <c r="A53" s="17" t="s">
        <v>207</v>
      </c>
      <c r="B53" s="164" t="s">
        <v>182</v>
      </c>
      <c r="C53" s="17"/>
      <c r="D53" s="17"/>
      <c r="E53" s="216">
        <f>'4. PairBudget'!F34</f>
        <v>1764</v>
      </c>
      <c r="F53" s="216">
        <f>E53</f>
        <v>1764</v>
      </c>
    </row>
    <row r="54" spans="1:6" ht="15">
      <c r="A54" s="76" t="s">
        <v>236</v>
      </c>
      <c r="B54" s="23"/>
      <c r="C54" s="17"/>
      <c r="D54" s="17"/>
      <c r="E54" s="216">
        <f>E53-E51</f>
        <v>-1029.130777067654</v>
      </c>
      <c r="F54" s="216">
        <f>F53-F51</f>
        <v>-1313.5109227245885</v>
      </c>
    </row>
    <row r="55" spans="1:6" ht="15">
      <c r="A55" s="17"/>
      <c r="B55" s="23"/>
      <c r="C55" s="17"/>
      <c r="D55" s="17"/>
      <c r="E55" s="216"/>
      <c r="F55" s="216"/>
    </row>
    <row r="56" spans="1:6" ht="15">
      <c r="A56" s="76" t="s">
        <v>235</v>
      </c>
      <c r="B56" s="23" t="s">
        <v>46</v>
      </c>
      <c r="C56" s="17"/>
      <c r="D56" s="17"/>
      <c r="E56" s="216">
        <f>'4. PairBudget'!F61</f>
        <v>-50551.825428450014</v>
      </c>
      <c r="F56" s="216"/>
    </row>
    <row r="57" spans="1:6" ht="15">
      <c r="A57" s="17" t="s">
        <v>208</v>
      </c>
      <c r="B57" s="23" t="s">
        <v>46</v>
      </c>
      <c r="C57" s="17"/>
      <c r="D57" s="17"/>
      <c r="E57" s="216">
        <f>'4. PairBudget'!F54+'4. PairBudget'!F61</f>
        <v>-40551.825428450014</v>
      </c>
      <c r="F57" s="216"/>
    </row>
    <row r="58" spans="1:6" ht="15">
      <c r="A58" s="17"/>
      <c r="B58" s="17"/>
      <c r="C58" s="17"/>
      <c r="D58" s="17"/>
      <c r="E58" s="23"/>
      <c r="F58" s="23"/>
    </row>
    <row r="59" spans="1:6" ht="15">
      <c r="A59" s="17" t="s">
        <v>75</v>
      </c>
      <c r="B59" s="17"/>
      <c r="C59" s="17"/>
      <c r="D59" s="17"/>
      <c r="E59" s="188">
        <f>'4. PairBudget'!F65*0.01</f>
        <v>-8.9071419591807963E-2</v>
      </c>
      <c r="F59" s="23"/>
    </row>
    <row r="60" spans="1:6" ht="15">
      <c r="E60" s="17"/>
      <c r="F60" s="17"/>
    </row>
    <row r="61" spans="1:6" ht="15">
      <c r="C61" s="17"/>
      <c r="D61" s="23" t="s">
        <v>166</v>
      </c>
    </row>
    <row r="62" spans="1:6" ht="15">
      <c r="A62" s="17" t="s">
        <v>230</v>
      </c>
      <c r="B62" s="17"/>
      <c r="C62" s="155"/>
      <c r="D62" s="171">
        <f>((F16-F7)/(365/12))</f>
        <v>28.536986301369861</v>
      </c>
    </row>
    <row r="63" spans="1:6" ht="15">
      <c r="A63" s="170" t="s">
        <v>213</v>
      </c>
    </row>
    <row r="64" spans="1:6">
      <c r="A64" s="28" t="s">
        <v>98</v>
      </c>
    </row>
    <row r="66" spans="1:4" ht="15">
      <c r="C66" s="84"/>
      <c r="D66" s="171"/>
    </row>
    <row r="67" spans="1:4">
      <c r="D67" s="52"/>
    </row>
    <row r="76" spans="1:4" ht="15">
      <c r="A76" s="17"/>
      <c r="B76" s="17"/>
      <c r="C76" s="17"/>
      <c r="D76" s="23"/>
    </row>
    <row r="77" spans="1:4" ht="15">
      <c r="A77" s="17"/>
    </row>
  </sheetData>
  <sheetProtection sheet="1" objects="1" scenarios="1"/>
  <mergeCells count="1">
    <mergeCell ref="A1:F1"/>
  </mergeCells>
  <phoneticPr fontId="0" type="noConversion"/>
  <printOptions horizontalCentered="1"/>
  <pageMargins left="0.75" right="0.75" top="0.75" bottom="0.75" header="0.5" footer="0.5"/>
  <pageSetup scale="75" orientation="portrait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1. Description</vt:lpstr>
      <vt:lpstr>2. Bred Heifer Budget</vt:lpstr>
      <vt:lpstr>3.BredHeiferSensitivityAnalysis</vt:lpstr>
      <vt:lpstr>4. PairBudget</vt:lpstr>
      <vt:lpstr>5. Pair Sensitivity Analysis</vt:lpstr>
      <vt:lpstr>6. Summary</vt:lpstr>
      <vt:lpstr>description</vt:lpstr>
      <vt:lpstr>heifer_budget</vt:lpstr>
      <vt:lpstr>heifer_sensitivity</vt:lpstr>
      <vt:lpstr>pair_budget</vt:lpstr>
      <vt:lpstr>pair_sensitivity</vt:lpstr>
      <vt:lpstr>'1. Description'!Print_Area</vt:lpstr>
      <vt:lpstr>'2. Bred Heifer Budget'!Print_Area</vt:lpstr>
      <vt:lpstr>'3.BredHeiferSensitivityAnalysis'!Print_Area</vt:lpstr>
      <vt:lpstr>'4. PairBudget'!Print_Area</vt:lpstr>
      <vt:lpstr>'5. Pair Sensitivity Analysis'!Print_Area</vt:lpstr>
      <vt:lpstr>'6. Summary'!Print_Area</vt:lpstr>
      <vt:lpstr>summary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Kolle</dc:creator>
  <cp:lastModifiedBy>Jim McGrann</cp:lastModifiedBy>
  <cp:lastPrinted>2018-07-04T22:22:49Z</cp:lastPrinted>
  <dcterms:created xsi:type="dcterms:W3CDTF">2000-10-06T20:53:55Z</dcterms:created>
  <dcterms:modified xsi:type="dcterms:W3CDTF">2018-10-11T09:25:03Z</dcterms:modified>
</cp:coreProperties>
</file>