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mcgra\Documents\2018 New 2018 B. Replacement Heifers\TAMU Decieion Aids 10-10-2018\1. Natural Service\"/>
    </mc:Choice>
  </mc:AlternateContent>
  <xr:revisionPtr revIDLastSave="0" documentId="13_ncr:1_{195AB86D-1C41-4298-BE6B-C465872EA8CC}" xr6:coauthVersionLast="37" xr6:coauthVersionMax="37" xr10:uidLastSave="{00000000-0000-0000-0000-000000000000}"/>
  <bookViews>
    <workbookView xWindow="0" yWindow="0" windowWidth="16457" windowHeight="4980" xr2:uid="{00000000-000D-0000-FFFF-FFFF00000000}"/>
  </bookViews>
  <sheets>
    <sheet name="1.Weaned Calf to Bred Heif Cost" sheetId="4" r:id="rId1"/>
    <sheet name="2. Summary Report" sheetId="10" r:id="rId2"/>
    <sheet name="3. Bull Cost" sheetId="9" r:id="rId3"/>
    <sheet name="4. Cost Definitions" sheetId="11" r:id="rId4"/>
  </sheets>
  <definedNames>
    <definedName name="_xlnm.Print_Area" localSheetId="0">'1.Weaned Calf to Bred Heif Cost'!$B$1:$G$68</definedName>
    <definedName name="_xlnm.Print_Area" localSheetId="1">'2. Summary Report'!$B$1:$D$61</definedName>
    <definedName name="_xlnm.Print_Area" localSheetId="2">'3. Bull Cost'!$B$1:$H$40</definedName>
    <definedName name="_xlnm.Print_Area" localSheetId="3">'4. Cost Definitions'!$B$1:$B$13</definedName>
  </definedNames>
  <calcPr calcId="162913"/>
</workbook>
</file>

<file path=xl/calcChain.xml><?xml version="1.0" encoding="utf-8"?>
<calcChain xmlns="http://schemas.openxmlformats.org/spreadsheetml/2006/main">
  <c r="E34" i="4" l="1"/>
  <c r="E33" i="4"/>
  <c r="E32" i="4"/>
  <c r="F34" i="4"/>
  <c r="F33" i="4"/>
  <c r="F32" i="4"/>
  <c r="F31" i="4"/>
  <c r="F35" i="4" l="1"/>
  <c r="D35" i="4" s="1"/>
  <c r="C35" i="4"/>
  <c r="N27" i="9"/>
  <c r="F36" i="9"/>
  <c r="C32" i="9"/>
  <c r="C36" i="9" s="1"/>
  <c r="F20" i="9"/>
  <c r="C4" i="9"/>
  <c r="I5" i="9" s="1"/>
  <c r="C35" i="9"/>
  <c r="G35" i="4" l="1"/>
  <c r="E35" i="4"/>
  <c r="F5" i="9"/>
  <c r="C76" i="4" l="1"/>
  <c r="F45" i="4"/>
  <c r="F44" i="4"/>
  <c r="F42" i="4"/>
  <c r="F41" i="4"/>
  <c r="F49" i="4" l="1"/>
  <c r="I23" i="4" l="1"/>
  <c r="I24" i="4"/>
  <c r="B2" i="10"/>
  <c r="C13" i="10" l="1"/>
  <c r="D22" i="10"/>
  <c r="D21" i="10"/>
  <c r="C17" i="10"/>
  <c r="C12" i="10"/>
  <c r="C11" i="10"/>
  <c r="C9" i="10"/>
  <c r="C16" i="10" s="1"/>
  <c r="C8" i="10"/>
  <c r="C6" i="10"/>
  <c r="C5" i="10"/>
  <c r="C4" i="10"/>
  <c r="C15" i="10" l="1"/>
  <c r="C14" i="10" s="1"/>
  <c r="E17" i="9" l="1"/>
  <c r="E28" i="9" l="1"/>
  <c r="E11" i="9" s="1"/>
  <c r="I6" i="4"/>
  <c r="D22" i="4" s="1"/>
  <c r="C27" i="4"/>
  <c r="I8" i="4" s="1"/>
  <c r="D26" i="4" s="1"/>
  <c r="C25" i="4"/>
  <c r="I5" i="4"/>
  <c r="I22" i="4"/>
  <c r="J22" i="4" s="1"/>
  <c r="E6" i="4"/>
  <c r="G17" i="9"/>
  <c r="E11" i="4"/>
  <c r="D19" i="10" s="1"/>
  <c r="E19" i="4"/>
  <c r="D20" i="10" s="1"/>
  <c r="E9" i="4"/>
  <c r="C19" i="10" s="1"/>
  <c r="E13" i="4"/>
  <c r="G26" i="9"/>
  <c r="F38" i="9" s="1"/>
  <c r="C54" i="4"/>
  <c r="C66" i="4" s="1"/>
  <c r="I11" i="4"/>
  <c r="G10" i="9"/>
  <c r="G9" i="9"/>
  <c r="G8" i="9"/>
  <c r="D62" i="4"/>
  <c r="C38" i="10" s="1"/>
  <c r="I39" i="4"/>
  <c r="E31" i="4"/>
  <c r="G36" i="9" l="1"/>
  <c r="H36" i="9" s="1"/>
  <c r="J28" i="9" s="1"/>
  <c r="G11" i="9"/>
  <c r="I7" i="4"/>
  <c r="D25" i="4" s="1"/>
  <c r="I25" i="4"/>
  <c r="F6" i="4"/>
  <c r="F11" i="4"/>
  <c r="E12" i="9"/>
  <c r="G12" i="9" s="1"/>
  <c r="E15" i="4"/>
  <c r="E15" i="9"/>
  <c r="G15" i="9" s="1"/>
  <c r="E16" i="9" l="1"/>
  <c r="E33" i="9" s="1"/>
  <c r="G33" i="9" s="1"/>
  <c r="C73" i="4"/>
  <c r="F37" i="4"/>
  <c r="D37" i="4" s="1"/>
  <c r="O25" i="9"/>
  <c r="O28" i="9" s="1"/>
  <c r="I55" i="4" s="1"/>
  <c r="C10" i="10"/>
  <c r="J23" i="4"/>
  <c r="E16" i="4"/>
  <c r="E18" i="9"/>
  <c r="G16" i="9" l="1"/>
  <c r="H33" i="9"/>
  <c r="J26" i="9" s="1"/>
  <c r="O26" i="9"/>
  <c r="E20" i="9"/>
  <c r="E32" i="9" s="1"/>
  <c r="G32" i="9" s="1"/>
  <c r="H32" i="9" s="1"/>
  <c r="L24" i="4"/>
  <c r="J25" i="4"/>
  <c r="I53" i="4"/>
  <c r="I54" i="4" s="1"/>
  <c r="F20" i="4"/>
  <c r="F62" i="4" s="1"/>
  <c r="C21" i="10"/>
  <c r="I19" i="4"/>
  <c r="C57" i="4"/>
  <c r="C62" i="4" s="1"/>
  <c r="E17" i="4"/>
  <c r="C56" i="4" s="1"/>
  <c r="J20" i="9" l="1"/>
  <c r="G20" i="9"/>
  <c r="J27" i="9" s="1"/>
  <c r="G21" i="9" s="1"/>
  <c r="D43" i="4" s="1"/>
  <c r="E34" i="9"/>
  <c r="G34" i="9" s="1"/>
  <c r="H34" i="9" s="1"/>
  <c r="L25" i="4"/>
  <c r="J24" i="4"/>
  <c r="J27" i="4" s="1"/>
  <c r="C60" i="4"/>
  <c r="C58" i="4"/>
  <c r="F19" i="4"/>
  <c r="F21" i="4" s="1"/>
  <c r="C20" i="10"/>
  <c r="I10" i="4"/>
  <c r="I12" i="4" s="1"/>
  <c r="F43" i="4" l="1"/>
  <c r="M43" i="4" s="1"/>
  <c r="C77" i="4"/>
  <c r="F56" i="4"/>
  <c r="C26" i="10" s="1"/>
  <c r="G47" i="10" s="1"/>
  <c r="I15" i="4"/>
  <c r="C14" i="4" s="1"/>
  <c r="F58" i="4"/>
  <c r="C22" i="10"/>
  <c r="C23" i="10"/>
  <c r="J26" i="4"/>
  <c r="I45" i="4"/>
  <c r="D56" i="4" l="1"/>
  <c r="C7" i="10"/>
  <c r="C29" i="10"/>
  <c r="C29" i="4"/>
  <c r="C48" i="4"/>
  <c r="F48" i="4" s="1"/>
  <c r="F50" i="4" s="1"/>
  <c r="C79" i="4" s="1"/>
  <c r="G50" i="10" l="1"/>
  <c r="D50" i="4"/>
  <c r="C32" i="10"/>
  <c r="G52" i="10" s="1"/>
  <c r="E29" i="4"/>
  <c r="D38" i="4" l="1"/>
  <c r="F38" i="4" l="1"/>
  <c r="C74" i="4" s="1"/>
  <c r="C27" i="10" s="1"/>
  <c r="J39" i="4"/>
  <c r="G48" i="10" l="1"/>
  <c r="F39" i="4"/>
  <c r="C75" i="4" l="1"/>
  <c r="C28" i="10" l="1"/>
  <c r="G49" i="10" l="1"/>
  <c r="F46" i="4"/>
  <c r="N51" i="4" l="1"/>
  <c r="N49" i="4"/>
  <c r="N48" i="4"/>
  <c r="R49" i="4" s="1"/>
  <c r="D46" i="4"/>
  <c r="D52" i="4" l="1"/>
  <c r="F52" i="4" s="1"/>
  <c r="F54" i="4" s="1"/>
  <c r="D54" i="4" l="1"/>
  <c r="G41" i="4"/>
  <c r="G39" i="4"/>
  <c r="H54" i="4"/>
  <c r="C36" i="10" s="1"/>
  <c r="G43" i="4"/>
  <c r="I48" i="4"/>
  <c r="I49" i="4" s="1"/>
  <c r="G50" i="4"/>
  <c r="G44" i="4"/>
  <c r="G48" i="4"/>
  <c r="G38" i="4"/>
  <c r="G49" i="4"/>
  <c r="G6" i="4"/>
  <c r="G45" i="4"/>
  <c r="F57" i="4"/>
  <c r="G42" i="4"/>
  <c r="N56" i="4"/>
  <c r="C80" i="4"/>
  <c r="G52" i="4"/>
  <c r="F60" i="4" l="1"/>
  <c r="D57" i="4"/>
  <c r="C84" i="4" s="1"/>
  <c r="C42" i="10" s="1"/>
  <c r="C33" i="10"/>
  <c r="G53" i="10" l="1"/>
  <c r="F64" i="4"/>
  <c r="I43" i="4"/>
  <c r="D60" i="4"/>
  <c r="D23" i="10" s="1"/>
  <c r="D24" i="10" s="1"/>
  <c r="D66" i="4" l="1"/>
  <c r="I20" i="4" s="1"/>
  <c r="D64" i="4"/>
  <c r="C39" i="10" s="1"/>
  <c r="F66" i="4"/>
  <c r="I59" i="4" l="1"/>
  <c r="F68" i="4" s="1"/>
  <c r="C40" i="10" s="1"/>
  <c r="N55" i="4"/>
  <c r="N57" i="4" s="1"/>
  <c r="N53" i="4"/>
  <c r="O53" i="4" s="1"/>
  <c r="C78" i="4"/>
  <c r="C81" i="4" s="1"/>
  <c r="C30" i="10"/>
  <c r="D75" i="4" l="1"/>
  <c r="D73" i="4"/>
  <c r="D77" i="4"/>
  <c r="D76" i="4"/>
  <c r="D79" i="4"/>
  <c r="D74" i="4"/>
  <c r="D80" i="4"/>
  <c r="D81" i="4"/>
  <c r="G51" i="10"/>
  <c r="D78" i="4"/>
  <c r="C31" i="10"/>
  <c r="C34" i="10" l="1"/>
  <c r="D31" i="10" s="1"/>
  <c r="G54" i="10"/>
  <c r="H47" i="10" l="1"/>
  <c r="H50" i="10"/>
  <c r="H49" i="10"/>
  <c r="H48" i="10"/>
  <c r="H52" i="10"/>
  <c r="H53" i="10"/>
  <c r="H51" i="10"/>
  <c r="D26" i="10"/>
  <c r="D32" i="10"/>
  <c r="D27" i="10"/>
  <c r="D29" i="10"/>
  <c r="D34" i="10"/>
  <c r="D33" i="10"/>
  <c r="D28" i="10"/>
  <c r="D30" i="10"/>
  <c r="H54"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J. Kelly</author>
  </authors>
  <commentList>
    <comment ref="E15" authorId="0" shapeId="0" xr:uid="{00000000-0006-0000-0200-000002000000}">
      <text>
        <r>
          <rPr>
            <sz val="8"/>
            <color indexed="81"/>
            <rFont val="Tahoma"/>
            <family val="2"/>
          </rPr>
          <t>Cost - Salvage value divided by useful life.</t>
        </r>
      </text>
    </comment>
  </commentList>
</comments>
</file>

<file path=xl/sharedStrings.xml><?xml version="1.0" encoding="utf-8"?>
<sst xmlns="http://schemas.openxmlformats.org/spreadsheetml/2006/main" count="265" uniqueCount="218">
  <si>
    <t xml:space="preserve">Calving Date </t>
  </si>
  <si>
    <t>$/Head</t>
  </si>
  <si>
    <t xml:space="preserve">Days After Breeding Season Delivered </t>
  </si>
  <si>
    <t>Credit for Cull Sales Per Bred Heifer</t>
  </si>
  <si>
    <t>Death Loss %</t>
  </si>
  <si>
    <t xml:space="preserve">        $/Head</t>
  </si>
  <si>
    <t xml:space="preserve">  $/Month</t>
  </si>
  <si>
    <t>Production Cost Summary</t>
  </si>
  <si>
    <t>%</t>
  </si>
  <si>
    <t>Winter Grazing and Feeding Costs Per Day</t>
  </si>
  <si>
    <t xml:space="preserve">Total Grazing and Feeding Costs </t>
  </si>
  <si>
    <t>Total Net Costs of Bred Heifer</t>
  </si>
  <si>
    <t>Net Delivered Cost of Bred Repl. Heifer</t>
  </si>
  <si>
    <t>at delivered cost</t>
  </si>
  <si>
    <t xml:space="preserve">Return on Investment </t>
  </si>
  <si>
    <t>Annualized  ROI</t>
  </si>
  <si>
    <t xml:space="preserve">Cost of </t>
  </si>
  <si>
    <t>Total Gain</t>
  </si>
  <si>
    <t>Pounds</t>
  </si>
  <si>
    <t>Gain $/lb.</t>
  </si>
  <si>
    <t>Production Costs</t>
  </si>
  <si>
    <t>Annualized ROI</t>
  </si>
  <si>
    <t>Total capital</t>
  </si>
  <si>
    <t xml:space="preserve">Net margin over total cost </t>
  </si>
  <si>
    <t>all heifers.</t>
  </si>
  <si>
    <t>Breeding, Pregnancy Testing % of Total Cost</t>
  </si>
  <si>
    <t>Breeding Total</t>
  </si>
  <si>
    <t>Weight</t>
  </si>
  <si>
    <t>Value $/Cwt</t>
  </si>
  <si>
    <t>Percent</t>
  </si>
  <si>
    <t>Per Breeding Culling Date and Percent</t>
  </si>
  <si>
    <t>Pre Breeding Culled Heifer</t>
  </si>
  <si>
    <t>Head</t>
  </si>
  <si>
    <t>Number of Heifers Exposed</t>
  </si>
  <si>
    <t>Culled Open Heifer</t>
  </si>
  <si>
    <t>Head Culled</t>
  </si>
  <si>
    <t>Total Value</t>
  </si>
  <si>
    <t>Head Days</t>
  </si>
  <si>
    <t>Beginning to pre breeding culling</t>
  </si>
  <si>
    <t>Pre breeding culling through breeding and delivery</t>
  </si>
  <si>
    <t>Days</t>
  </si>
  <si>
    <t xml:space="preserve">      Head</t>
  </si>
  <si>
    <t>Percent Pregnant and Net for Sale</t>
  </si>
  <si>
    <t>Culled Open Heifer Sale</t>
  </si>
  <si>
    <t>Bred Heifer Sales Price</t>
  </si>
  <si>
    <t>Operating Cost</t>
  </si>
  <si>
    <t>Feed and Grazing</t>
  </si>
  <si>
    <t xml:space="preserve">Other Cost </t>
  </si>
  <si>
    <t>Veterinary Medicine</t>
  </si>
  <si>
    <t>Annual Interest on (1/2) of Operating Cost</t>
  </si>
  <si>
    <t>Annual Operating Cost</t>
  </si>
  <si>
    <t>Ownership Costs</t>
  </si>
  <si>
    <t>Depreciation</t>
  </si>
  <si>
    <t>Average Annual Interest Cost*</t>
  </si>
  <si>
    <t>Annual Ownership Cost</t>
  </si>
  <si>
    <t>Without operating interest, interest and depreciation.</t>
  </si>
  <si>
    <t>Estimated Purchase Cost including Freight</t>
  </si>
  <si>
    <t>Useful Life</t>
  </si>
  <si>
    <t>Wt. Lb./Hd.</t>
  </si>
  <si>
    <t>$/Cwt.</t>
  </si>
  <si>
    <t xml:space="preserve">  $/Head</t>
  </si>
  <si>
    <t xml:space="preserve">Bull Salvage Value </t>
  </si>
  <si>
    <t>Interest Rate Used</t>
  </si>
  <si>
    <t>*Average investment is cost plus salvage value divided by 2. or</t>
  </si>
  <si>
    <t>Comments:</t>
  </si>
  <si>
    <t xml:space="preserve">Bulls used for replacement heifers </t>
  </si>
  <si>
    <t>Pregnancy Test Exposed Heifers</t>
  </si>
  <si>
    <t>Sales Weight</t>
  </si>
  <si>
    <t>Starting Weight</t>
  </si>
  <si>
    <t>Net Gain</t>
  </si>
  <si>
    <t>ADG</t>
  </si>
  <si>
    <t>Annual Herd Bull Cost Calculator</t>
  </si>
  <si>
    <t>Gross Income</t>
  </si>
  <si>
    <t>Revenue</t>
  </si>
  <si>
    <t>$/Head All Heifers</t>
  </si>
  <si>
    <t>$/Head Bred Heifer</t>
  </si>
  <si>
    <t>Net Income</t>
  </si>
  <si>
    <t>Capital Cost</t>
  </si>
  <si>
    <t>Net to Capital</t>
  </si>
  <si>
    <r>
      <t xml:space="preserve">Total Bull Breeding Non Interest Cost </t>
    </r>
    <r>
      <rPr>
        <sz val="10"/>
        <rFont val="Arial"/>
        <family val="2"/>
      </rPr>
      <t>(see bull cost sheet)</t>
    </r>
  </si>
  <si>
    <t>Bull interest cost</t>
  </si>
  <si>
    <t>Non Interest Total Cost, Number of Cows and per Cow Cost</t>
  </si>
  <si>
    <t>________________________________________________________________________________________________</t>
  </si>
  <si>
    <t>Net Income per head</t>
  </si>
  <si>
    <r>
      <t xml:space="preserve">Bred Heifer Sales Price </t>
    </r>
    <r>
      <rPr>
        <sz val="10"/>
        <rFont val="Arial"/>
        <family val="2"/>
      </rPr>
      <t>(Gross price before delivery cost)</t>
    </r>
  </si>
  <si>
    <t>Delivery Date of Bred Heifers</t>
  </si>
  <si>
    <t>% of Cost</t>
  </si>
  <si>
    <t>Birth Date</t>
  </si>
  <si>
    <t>Weaning Age</t>
  </si>
  <si>
    <t>Breeding Age</t>
  </si>
  <si>
    <t>Calving Age</t>
  </si>
  <si>
    <t>Delivery Age</t>
  </si>
  <si>
    <t>Months old at delivery</t>
  </si>
  <si>
    <t>Months old at calving</t>
  </si>
  <si>
    <t>Months old at breeding</t>
  </si>
  <si>
    <t>Gross Sales Revenue</t>
  </si>
  <si>
    <t>Starting Date for Weaned Heifer Calf</t>
  </si>
  <si>
    <t xml:space="preserve">Breeding Date </t>
  </si>
  <si>
    <t>Processing and Health</t>
  </si>
  <si>
    <t xml:space="preserve">Total Grazing and Feeding Cost </t>
  </si>
  <si>
    <t>Delivery Weight of Bred Heifers</t>
  </si>
  <si>
    <t>Length of Breeding Season - Days</t>
  </si>
  <si>
    <t xml:space="preserve">Marketing and Delivery Freight  Cost </t>
  </si>
  <si>
    <t xml:space="preserve">            Head</t>
  </si>
  <si>
    <t>Or transferred to breeding herd.</t>
  </si>
  <si>
    <t>Version</t>
  </si>
  <si>
    <t>Total Cost, Number of Cows Per Bull &amp; Cow Cost</t>
  </si>
  <si>
    <t xml:space="preserve"> Replacement Heifer - Weaning Through Breeding and Culling - Natural Service</t>
  </si>
  <si>
    <t>Total interest cost</t>
  </si>
  <si>
    <t>Average/Hd. For cows exposed</t>
  </si>
  <si>
    <t>Exposed</t>
  </si>
  <si>
    <t>Natural</t>
  </si>
  <si>
    <t>Bull investment</t>
  </si>
  <si>
    <t xml:space="preserve">Per </t>
  </si>
  <si>
    <t>Death Loss Purchase cost)</t>
  </si>
  <si>
    <t>Annualized Capital Investment including bulls investment</t>
  </si>
  <si>
    <t>Bull interest cost per head exposed</t>
  </si>
  <si>
    <t>Financing</t>
  </si>
  <si>
    <t>Total Direct Costs</t>
  </si>
  <si>
    <t>Indirect Costs</t>
  </si>
  <si>
    <t>Indirect Cost $/Head Day</t>
  </si>
  <si>
    <t>Indirect Costs Based on Per Head In</t>
  </si>
  <si>
    <t>Total Indirect Costs</t>
  </si>
  <si>
    <t>Total Production Cost</t>
  </si>
  <si>
    <t>Interest Rate % &amp; Cost of (return to) Capital</t>
  </si>
  <si>
    <t>Bulls</t>
  </si>
  <si>
    <t>Required</t>
  </si>
  <si>
    <t>Net Margin per Bred Heifers ($/Hd.)</t>
  </si>
  <si>
    <t>Net Margin Return All Heif.</t>
  </si>
  <si>
    <t xml:space="preserve">Annualized  Return on Investment ROI </t>
  </si>
  <si>
    <t>Summary Report on Replacement Heifers Budget</t>
  </si>
  <si>
    <t>Weaned or Purchased Heifer - Head</t>
  </si>
  <si>
    <t>Weaned or Purchased Heifer - Weight</t>
  </si>
  <si>
    <t>Days Owned - Start to Bred Delivery</t>
  </si>
  <si>
    <t>Net</t>
  </si>
  <si>
    <t xml:space="preserve"> Natural Service Bred Heifers</t>
  </si>
  <si>
    <t xml:space="preserve"> Bred Heifers Delivery Cost</t>
  </si>
  <si>
    <t>Total Revenue - Net of Delivery Cost</t>
  </si>
  <si>
    <t xml:space="preserve">  Feed &amp; Grazing </t>
  </si>
  <si>
    <t xml:space="preserve">  Process &amp; Health</t>
  </si>
  <si>
    <t xml:space="preserve">  Other Direct Costs</t>
  </si>
  <si>
    <t xml:space="preserve">  Breeding System </t>
  </si>
  <si>
    <t xml:space="preserve">  Finance</t>
  </si>
  <si>
    <t xml:space="preserve"> Total Indirect Costs</t>
  </si>
  <si>
    <t>Non Cattle Cost per Day</t>
  </si>
  <si>
    <t>Net Income (loss) per Bred Heifers ($/Hd.)</t>
  </si>
  <si>
    <t>Annualized  Return on Investment (ROI)</t>
  </si>
  <si>
    <t xml:space="preserve">Bred Heifer Sales Price </t>
  </si>
  <si>
    <t>Per Day</t>
  </si>
  <si>
    <t>Open</t>
  </si>
  <si>
    <t>Bred</t>
  </si>
  <si>
    <t>Days Per Head Marketed bred or open</t>
  </si>
  <si>
    <t>Replacement Heifer Cost Definitions</t>
  </si>
  <si>
    <r>
      <rPr>
        <b/>
        <sz val="12"/>
        <color theme="1"/>
        <rFont val="Arial"/>
        <family val="2"/>
      </rPr>
      <t>Direct Expenses</t>
    </r>
    <r>
      <rPr>
        <sz val="10"/>
        <rFont val="Arial"/>
        <family val="2"/>
      </rPr>
      <t xml:space="preserve"> are expense items that are directly related to production activity such as grazing, feed, seed, fertilizer, land rent, health, breeding and replacement heifer costs. These expenses increase as the number of replacement heifers increase.</t>
    </r>
  </si>
  <si>
    <r>
      <rPr>
        <b/>
        <sz val="12"/>
        <color theme="1"/>
        <rFont val="Arial"/>
        <family val="2"/>
      </rPr>
      <t>Indirect Costs</t>
    </r>
    <r>
      <rPr>
        <sz val="10"/>
        <rFont val="Arial"/>
        <family val="2"/>
      </rPr>
      <t xml:space="preserve"> are the costs that don’t change as the number of cattle increase. Depreciation, repair, maintenance, of the vehicles, machinery and equipment, labor and management, utilities, property tax are examples of indirect costs. </t>
    </r>
    <r>
      <rPr>
        <b/>
        <sz val="12"/>
        <color theme="1"/>
        <rFont val="Arial"/>
        <family val="2"/>
      </rPr>
      <t>General and administrative costs</t>
    </r>
    <r>
      <rPr>
        <sz val="10"/>
        <rFont val="Arial"/>
        <family val="2"/>
      </rPr>
      <t xml:space="preserve"> are indirect cost that all business incurs to cover book keeping, professional fees, insurance, office supplies, computer services, phone and other utilities cost. Administrative cost includes the salary and payroll for hired or owner management. There is management time spent on planning, implementation and marketing issues for the replacement heifers.</t>
    </r>
  </si>
  <si>
    <r>
      <t xml:space="preserve">Total Unit Cost of Production (TUC) is a sum of </t>
    </r>
    <r>
      <rPr>
        <sz val="10"/>
        <rFont val="Arial"/>
        <family val="2"/>
      </rPr>
      <t xml:space="preserve">direct costs, indirect including the businesses general and administrative (G &amp; A) and finance costs. Having </t>
    </r>
    <r>
      <rPr>
        <b/>
        <sz val="12"/>
        <color theme="1"/>
        <rFont val="Arial"/>
        <family val="2"/>
      </rPr>
      <t>total unit cost</t>
    </r>
    <r>
      <rPr>
        <sz val="10"/>
        <rFont val="Arial"/>
        <family val="2"/>
      </rPr>
      <t xml:space="preserve"> is necessary to have a true measure of profitability. Having G&amp;A and actual interest cost will mean the replacement heifer profitability and TUC is consistent with the total business income statement or profit and loss (P&amp;L) statement.</t>
    </r>
  </si>
  <si>
    <r>
      <rPr>
        <b/>
        <sz val="12"/>
        <color theme="1"/>
        <rFont val="Arial"/>
        <family val="2"/>
      </rPr>
      <t>Cost of Gain (COG)</t>
    </r>
    <r>
      <rPr>
        <sz val="10"/>
        <rFont val="Arial"/>
        <family val="2"/>
      </rPr>
      <t xml:space="preserve"> is TUC minus the cost of the initial heifer and breeding cost divided by net payweight gain or total payweight out minus payweight in.</t>
    </r>
  </si>
  <si>
    <r>
      <rPr>
        <b/>
        <sz val="12"/>
        <color theme="1"/>
        <rFont val="Arial"/>
        <family val="2"/>
      </rPr>
      <t>Value of Gain</t>
    </r>
    <r>
      <rPr>
        <sz val="10"/>
        <rFont val="Arial"/>
        <family val="2"/>
      </rPr>
      <t xml:space="preserve"> = ((Total Revenue -Total Cattle In Cost)/Net Gain))  Value of Gain must exceed total cost of gain (COG) to be profitable.</t>
    </r>
  </si>
  <si>
    <r>
      <t xml:space="preserve">Annualized Net Return on Investment ROI </t>
    </r>
    <r>
      <rPr>
        <sz val="10"/>
        <rFont val="Arial"/>
        <family val="2"/>
      </rPr>
      <t>is the annualized return on investment is the net income plus interest cost divided by annualized capital investment requirement to support the enterprise.  The reason interest is added back is interest paid represents a return the debt capital. ROI is a return to capital invested irrespective of capital ownership. Capital is adjusted for the time cattle are grazed or fed. Investment required is estimated by taking one half of the investment is non-cattle costs plus the total payweight cost of the cattle times days on feed divided by 365 days. ROI % = ((net income + Interest)/annualized Investment)*100</t>
    </r>
  </si>
  <si>
    <t xml:space="preserve">Total Unit Cost (TUC) of All Heifers </t>
  </si>
  <si>
    <t>Average Daily Gain</t>
  </si>
  <si>
    <t>Number of Heifers Exposed - Head</t>
  </si>
  <si>
    <t xml:space="preserve">     Head</t>
  </si>
  <si>
    <t xml:space="preserve"> Total Direct Cost</t>
  </si>
  <si>
    <t xml:space="preserve"> Total Direct Costs</t>
  </si>
  <si>
    <t>Prevents duplication of interest cost in the budget.</t>
  </si>
  <si>
    <t>Pre-Breeding Health</t>
  </si>
  <si>
    <t xml:space="preserve">For Summary Report </t>
  </si>
  <si>
    <t>Description of Replacement Heifer</t>
  </si>
  <si>
    <t>Natural service Angus - bred to low birth weight bulls</t>
  </si>
  <si>
    <t>Includes Trick test</t>
  </si>
  <si>
    <t xml:space="preserve"> Heifer Initial Cost</t>
  </si>
  <si>
    <t>Revenue Difference Between Open &amp; Bred Value</t>
  </si>
  <si>
    <t xml:space="preserve">Pre-Breeding Culling Date </t>
  </si>
  <si>
    <t xml:space="preserve">        Heifer</t>
  </si>
  <si>
    <t>Heifer Initial Cost</t>
  </si>
  <si>
    <t xml:space="preserve">     % of Cost</t>
  </si>
  <si>
    <t xml:space="preserve">  Heifer Initial Cost</t>
  </si>
  <si>
    <t>Raised or Purchased Heifer Cost</t>
  </si>
  <si>
    <t>Breeding Costs</t>
  </si>
  <si>
    <t>Other Costs Non-Breeding Costs</t>
  </si>
  <si>
    <t>Bred Heifer Cost Adjusted for Cull Sales*</t>
  </si>
  <si>
    <t xml:space="preserve">  Total Unit Cost All Heifers</t>
  </si>
  <si>
    <t xml:space="preserve">  *Adjusted for cull sales and reproduction performance.</t>
  </si>
  <si>
    <t>Pregnancy Based on Exposed Females</t>
  </si>
  <si>
    <t xml:space="preserve"> Culled Heifers - Before Breeding Sales</t>
  </si>
  <si>
    <t xml:space="preserve"> Culled Open Heifers Sales</t>
  </si>
  <si>
    <t>Summary of Cost of All Heifers</t>
  </si>
  <si>
    <t>Head Required</t>
  </si>
  <si>
    <t>Per Bull</t>
  </si>
  <si>
    <t xml:space="preserve">   Total Cost</t>
  </si>
  <si>
    <t>Per Exposed</t>
  </si>
  <si>
    <t>Total for Bulls Required &amp; Costs</t>
  </si>
  <si>
    <t>Non Interest</t>
  </si>
  <si>
    <t>Interest</t>
  </si>
  <si>
    <t>Total</t>
  </si>
  <si>
    <t>Exposed Females</t>
  </si>
  <si>
    <t>Total Inv</t>
  </si>
  <si>
    <t>Ave. Investment</t>
  </si>
  <si>
    <t>Total Bull Investment</t>
  </si>
  <si>
    <t>Annual per Bull Cost</t>
  </si>
  <si>
    <t>Heifers per Year Per Bull</t>
  </si>
  <si>
    <t xml:space="preserve">Annual Heifer per Head Service Cost </t>
  </si>
  <si>
    <t xml:space="preserve">Bulls for breeding </t>
  </si>
  <si>
    <t>Bulls Required</t>
  </si>
  <si>
    <t>Heifer Exposed - Head</t>
  </si>
  <si>
    <t>Heifers per Bull</t>
  </si>
  <si>
    <t>Exposed heifers per bull</t>
  </si>
  <si>
    <t>Calculated Fraction</t>
  </si>
  <si>
    <t>Cannot have a fraction of a bull.</t>
  </si>
  <si>
    <r>
      <rPr>
        <b/>
        <sz val="10"/>
        <rFont val="Arial"/>
        <family val="2"/>
      </rPr>
      <t xml:space="preserve">Owner Operator Labor and Management </t>
    </r>
    <r>
      <rPr>
        <sz val="10"/>
        <rFont val="Arial"/>
        <family val="2"/>
      </rPr>
      <t>compensation should be included in the production cost calculation at a level equivalent to the salary required to hire a non-family member to provide an equivalent service.  Compensation in excess of this amount must be considered capital distributions in order to reconcile the retained earnings and statement of cash flows. Owner manager costs need to be included in production costs. Leaving it out implies the owner works for nothing.</t>
    </r>
  </si>
  <si>
    <t>Grazing and Feeding  Day</t>
  </si>
  <si>
    <t>Cost per Day</t>
  </si>
  <si>
    <t>Total Cost</t>
  </si>
  <si>
    <t>Preconditioning</t>
  </si>
  <si>
    <t>Other</t>
  </si>
  <si>
    <t>Spring and Summer</t>
  </si>
  <si>
    <t xml:space="preserve">Total Days and Months Fed and Grazed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</si>
</sst>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3" formatCode="_(* #,##0.00_);_(* \(#,##0.00\);_(* &quot;-&quot;??_);_(@_)"/>
    <numFmt numFmtId="164" formatCode="&quot;$&quot;#,##0.00"/>
    <numFmt numFmtId="165" formatCode="&quot;$&quot;#,##0"/>
    <numFmt numFmtId="166" formatCode="[$-409]d\-mmm\-yy;@"/>
    <numFmt numFmtId="167" formatCode="0.0"/>
    <numFmt numFmtId="168" formatCode="_(* #,##0_);_(* \(#,##0\);_(* &quot;-&quot;??_);_(@_)"/>
    <numFmt numFmtId="169" formatCode="0.0%"/>
    <numFmt numFmtId="170" formatCode="mmmm\ d\,\ yyyy"/>
    <numFmt numFmtId="171" formatCode="0.0_);[Red]\(0.0\)"/>
  </numFmts>
  <fonts count="28" x14ac:knownFonts="1">
    <font>
      <sz val="10"/>
      <name val="Arial"/>
    </font>
    <font>
      <sz val="10"/>
      <name val="Arial"/>
      <family val="2"/>
    </font>
    <font>
      <b/>
      <sz val="10"/>
      <name val="Arial"/>
      <family val="2"/>
    </font>
    <font>
      <sz val="12"/>
      <name val="Arial"/>
      <family val="2"/>
    </font>
    <font>
      <b/>
      <sz val="12"/>
      <name val="Arial"/>
      <family val="2"/>
    </font>
    <font>
      <sz val="8"/>
      <name val="Arial"/>
      <family val="2"/>
    </font>
    <font>
      <sz val="12"/>
      <name val="Arial"/>
      <family val="2"/>
    </font>
    <font>
      <sz val="12"/>
      <color indexed="39"/>
      <name val="Arial"/>
      <family val="2"/>
    </font>
    <font>
      <b/>
      <sz val="12"/>
      <name val="Arial"/>
      <family val="2"/>
    </font>
    <font>
      <sz val="10"/>
      <name val="Arial"/>
      <family val="2"/>
    </font>
    <font>
      <b/>
      <sz val="11"/>
      <name val="Arial"/>
      <family val="2"/>
    </font>
    <font>
      <b/>
      <sz val="12"/>
      <color indexed="39"/>
      <name val="Arial"/>
      <family val="2"/>
    </font>
    <font>
      <b/>
      <i/>
      <sz val="12"/>
      <name val="Arial"/>
      <family val="2"/>
    </font>
    <font>
      <sz val="8"/>
      <color indexed="81"/>
      <name val="Tahoma"/>
      <family val="2"/>
    </font>
    <font>
      <sz val="11"/>
      <name val="Arial"/>
      <family val="2"/>
    </font>
    <font>
      <sz val="12"/>
      <color indexed="12"/>
      <name val="Arial"/>
      <family val="2"/>
    </font>
    <font>
      <sz val="12"/>
      <color indexed="48"/>
      <name val="Arial"/>
      <family val="2"/>
    </font>
    <font>
      <sz val="12"/>
      <color indexed="30"/>
      <name val="Arial"/>
      <family val="2"/>
    </font>
    <font>
      <b/>
      <sz val="12"/>
      <color indexed="12"/>
      <name val="Arial"/>
      <family val="2"/>
    </font>
    <font>
      <sz val="12"/>
      <color rgb="FF0000FF"/>
      <name val="Arial"/>
      <family val="2"/>
    </font>
    <font>
      <b/>
      <sz val="14"/>
      <name val="Arial"/>
      <family val="2"/>
    </font>
    <font>
      <sz val="10"/>
      <color rgb="FF0000FF"/>
      <name val="Arial"/>
      <family val="2"/>
    </font>
    <font>
      <b/>
      <sz val="12"/>
      <color theme="1"/>
      <name val="Arial"/>
      <family val="2"/>
    </font>
    <font>
      <sz val="11"/>
      <color theme="1"/>
      <name val="Times New Roman"/>
      <family val="1"/>
    </font>
    <font>
      <sz val="11"/>
      <color indexed="39"/>
      <name val="Arial"/>
      <family val="2"/>
    </font>
    <font>
      <b/>
      <sz val="11"/>
      <color rgb="FF0000FF"/>
      <name val="Arial"/>
      <family val="2"/>
    </font>
    <font>
      <b/>
      <sz val="12"/>
      <color rgb="FF0000FF"/>
      <name val="Arial"/>
      <family val="2"/>
    </font>
    <font>
      <sz val="12"/>
      <color rgb="FFC00000"/>
      <name val="Arial"/>
      <family val="2"/>
    </font>
  </fonts>
  <fills count="3">
    <fill>
      <patternFill patternType="none"/>
    </fill>
    <fill>
      <patternFill patternType="gray125"/>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82">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8" fontId="4" fillId="0" borderId="0" xfId="0" applyNumberFormat="1" applyFont="1"/>
    <xf numFmtId="0" fontId="0" fillId="0" borderId="0" xfId="0" applyAlignment="1">
      <alignment horizontal="center"/>
    </xf>
    <xf numFmtId="8" fontId="6" fillId="0" borderId="0" xfId="0" applyNumberFormat="1" applyFont="1"/>
    <xf numFmtId="1" fontId="3" fillId="0" borderId="0" xfId="0" applyNumberFormat="1" applyFont="1"/>
    <xf numFmtId="166" fontId="3" fillId="0" borderId="0" xfId="0" applyNumberFormat="1" applyFont="1"/>
    <xf numFmtId="167" fontId="3" fillId="0" borderId="0" xfId="0" applyNumberFormat="1" applyFont="1"/>
    <xf numFmtId="164" fontId="7" fillId="0" borderId="0" xfId="0" applyNumberFormat="1" applyFont="1" applyProtection="1">
      <protection locked="0"/>
    </xf>
    <xf numFmtId="164" fontId="3" fillId="0" borderId="0" xfId="0" applyNumberFormat="1" applyFont="1"/>
    <xf numFmtId="0" fontId="8" fillId="0" borderId="0" xfId="0" applyFont="1"/>
    <xf numFmtId="6" fontId="3" fillId="0" borderId="0" xfId="0" applyNumberFormat="1" applyFont="1"/>
    <xf numFmtId="6" fontId="7" fillId="0" borderId="0" xfId="0" applyNumberFormat="1" applyFont="1" applyProtection="1">
      <protection locked="0"/>
    </xf>
    <xf numFmtId="1" fontId="7" fillId="0" borderId="0" xfId="0" applyNumberFormat="1" applyFont="1" applyProtection="1">
      <protection locked="0"/>
    </xf>
    <xf numFmtId="0" fontId="7" fillId="0" borderId="0" xfId="0" applyFont="1" applyProtection="1">
      <protection locked="0"/>
    </xf>
    <xf numFmtId="167" fontId="7" fillId="0" borderId="0" xfId="0" applyNumberFormat="1" applyFont="1" applyProtection="1">
      <protection locked="0"/>
    </xf>
    <xf numFmtId="6" fontId="4" fillId="0" borderId="0" xfId="0" applyNumberFormat="1" applyFont="1"/>
    <xf numFmtId="8" fontId="0" fillId="0" borderId="0" xfId="0" applyNumberFormat="1"/>
    <xf numFmtId="166" fontId="3" fillId="0" borderId="0" xfId="0" applyNumberFormat="1" applyFont="1" applyProtection="1"/>
    <xf numFmtId="0" fontId="1" fillId="0" borderId="0" xfId="0" applyFont="1"/>
    <xf numFmtId="169" fontId="2" fillId="0" borderId="0" xfId="2" applyNumberFormat="1" applyFont="1"/>
    <xf numFmtId="0" fontId="10" fillId="0" borderId="0" xfId="0" applyFont="1"/>
    <xf numFmtId="1" fontId="7" fillId="0" borderId="1" xfId="0" applyNumberFormat="1" applyFont="1" applyBorder="1" applyProtection="1">
      <protection locked="0"/>
    </xf>
    <xf numFmtId="165" fontId="3" fillId="0" borderId="0" xfId="0" applyNumberFormat="1" applyFont="1"/>
    <xf numFmtId="0" fontId="6" fillId="0" borderId="0" xfId="0" applyFont="1" applyBorder="1"/>
    <xf numFmtId="165" fontId="7" fillId="0" borderId="0" xfId="0" applyNumberFormat="1" applyFont="1" applyProtection="1">
      <protection locked="0"/>
    </xf>
    <xf numFmtId="165" fontId="4" fillId="0" borderId="0" xfId="0" applyNumberFormat="1" applyFont="1"/>
    <xf numFmtId="165" fontId="0" fillId="0" borderId="0" xfId="0" applyNumberFormat="1"/>
    <xf numFmtId="165" fontId="6" fillId="0" borderId="0" xfId="0" applyNumberFormat="1" applyFont="1" applyBorder="1"/>
    <xf numFmtId="169" fontId="0" fillId="0" borderId="0" xfId="2" applyNumberFormat="1" applyFont="1"/>
    <xf numFmtId="169" fontId="0" fillId="0" borderId="0" xfId="0" applyNumberFormat="1"/>
    <xf numFmtId="6" fontId="0" fillId="0" borderId="0" xfId="0" applyNumberFormat="1"/>
    <xf numFmtId="6" fontId="1" fillId="0" borderId="0" xfId="0" applyNumberFormat="1" applyFont="1" applyProtection="1"/>
    <xf numFmtId="166" fontId="7" fillId="0" borderId="1" xfId="0" applyNumberFormat="1" applyFont="1" applyBorder="1" applyProtection="1">
      <protection locked="0"/>
    </xf>
    <xf numFmtId="1" fontId="1" fillId="0" borderId="0" xfId="0" applyNumberFormat="1" applyFont="1" applyProtection="1"/>
    <xf numFmtId="4" fontId="3" fillId="0" borderId="0" xfId="0" applyNumberFormat="1" applyFont="1" applyBorder="1" applyAlignment="1" applyProtection="1">
      <alignment horizontal="center"/>
    </xf>
    <xf numFmtId="4" fontId="3" fillId="0" borderId="0" xfId="0" applyNumberFormat="1" applyFont="1" applyAlignment="1" applyProtection="1">
      <alignment horizontal="center"/>
    </xf>
    <xf numFmtId="1" fontId="0" fillId="0" borderId="0" xfId="0" applyNumberFormat="1"/>
    <xf numFmtId="2" fontId="3" fillId="0" borderId="0" xfId="0" applyNumberFormat="1" applyFont="1" applyAlignment="1">
      <alignment horizontal="center"/>
    </xf>
    <xf numFmtId="1" fontId="4" fillId="0" borderId="0" xfId="0" applyNumberFormat="1" applyFont="1"/>
    <xf numFmtId="168" fontId="0" fillId="0" borderId="0" xfId="1" applyNumberFormat="1" applyFont="1"/>
    <xf numFmtId="168" fontId="0" fillId="0" borderId="0" xfId="0" applyNumberFormat="1"/>
    <xf numFmtId="6" fontId="6" fillId="0" borderId="0" xfId="0" applyNumberFormat="1" applyFont="1"/>
    <xf numFmtId="1" fontId="3" fillId="0" borderId="0" xfId="0" applyNumberFormat="1" applyFont="1" applyBorder="1"/>
    <xf numFmtId="6" fontId="7" fillId="0" borderId="1" xfId="0" applyNumberFormat="1" applyFont="1" applyBorder="1" applyProtection="1">
      <protection locked="0"/>
    </xf>
    <xf numFmtId="167" fontId="7" fillId="0" borderId="1" xfId="0" applyNumberFormat="1" applyFont="1" applyBorder="1" applyProtection="1">
      <protection locked="0"/>
    </xf>
    <xf numFmtId="6" fontId="11" fillId="0" borderId="1" xfId="0" applyNumberFormat="1" applyFont="1" applyBorder="1" applyProtection="1">
      <protection locked="0"/>
    </xf>
    <xf numFmtId="0" fontId="4" fillId="0" borderId="0" xfId="0" applyFont="1" applyAlignment="1">
      <alignment horizontal="center"/>
    </xf>
    <xf numFmtId="170" fontId="12" fillId="0" borderId="0" xfId="0" applyNumberFormat="1" applyFont="1" applyAlignment="1">
      <alignment horizontal="center"/>
    </xf>
    <xf numFmtId="165" fontId="2" fillId="0" borderId="0" xfId="0" applyNumberFormat="1" applyFont="1"/>
    <xf numFmtId="164" fontId="2" fillId="0" borderId="0" xfId="0" applyNumberFormat="1" applyFont="1"/>
    <xf numFmtId="165" fontId="1" fillId="0" borderId="0" xfId="0" applyNumberFormat="1" applyFont="1"/>
    <xf numFmtId="164" fontId="0" fillId="0" borderId="0" xfId="0" applyNumberFormat="1"/>
    <xf numFmtId="0" fontId="9" fillId="0" borderId="0" xfId="0" applyFont="1"/>
    <xf numFmtId="2" fontId="0" fillId="0" borderId="0" xfId="0" applyNumberFormat="1"/>
    <xf numFmtId="8" fontId="2" fillId="0" borderId="0" xfId="0" applyNumberFormat="1" applyFont="1"/>
    <xf numFmtId="0" fontId="3" fillId="0" borderId="0" xfId="0" applyFont="1" applyAlignment="1">
      <alignment horizontal="center"/>
    </xf>
    <xf numFmtId="165" fontId="2" fillId="0" borderId="0" xfId="2" applyNumberFormat="1" applyFont="1"/>
    <xf numFmtId="38" fontId="1" fillId="0" borderId="0" xfId="0" applyNumberFormat="1" applyFont="1"/>
    <xf numFmtId="8" fontId="1" fillId="0" borderId="0" xfId="0" applyNumberFormat="1" applyFont="1"/>
    <xf numFmtId="9" fontId="3" fillId="0" borderId="0" xfId="2" applyFont="1"/>
    <xf numFmtId="165" fontId="3" fillId="0" borderId="0" xfId="0" applyNumberFormat="1" applyFont="1" applyAlignment="1">
      <alignment horizontal="right"/>
    </xf>
    <xf numFmtId="0" fontId="14" fillId="0" borderId="0" xfId="0" applyFont="1"/>
    <xf numFmtId="0" fontId="4" fillId="0" borderId="0" xfId="0" applyFont="1" applyAlignment="1">
      <alignment horizontal="center" wrapText="1"/>
    </xf>
    <xf numFmtId="165" fontId="15" fillId="0" borderId="0" xfId="0" applyNumberFormat="1" applyFont="1" applyProtection="1">
      <protection locked="0"/>
    </xf>
    <xf numFmtId="164" fontId="16" fillId="0" borderId="0" xfId="0" applyNumberFormat="1" applyFont="1"/>
    <xf numFmtId="164" fontId="6" fillId="0" borderId="0" xfId="0" applyNumberFormat="1" applyFont="1"/>
    <xf numFmtId="0" fontId="17" fillId="0" borderId="0" xfId="0" applyFont="1"/>
    <xf numFmtId="165" fontId="15" fillId="0" borderId="0" xfId="0" applyNumberFormat="1" applyFont="1" applyBorder="1" applyProtection="1">
      <protection locked="0"/>
    </xf>
    <xf numFmtId="164" fontId="16" fillId="0" borderId="0" xfId="0" applyNumberFormat="1" applyFont="1" applyBorder="1"/>
    <xf numFmtId="164" fontId="6" fillId="0" borderId="0" xfId="0" applyNumberFormat="1" applyFont="1" applyBorder="1"/>
    <xf numFmtId="164" fontId="4" fillId="0" borderId="0" xfId="0" applyNumberFormat="1" applyFont="1"/>
    <xf numFmtId="165" fontId="6" fillId="0" borderId="0" xfId="0" applyNumberFormat="1" applyFont="1"/>
    <xf numFmtId="3" fontId="11" fillId="0" borderId="0" xfId="0" applyNumberFormat="1" applyFont="1" applyProtection="1"/>
    <xf numFmtId="164" fontId="4" fillId="0" borderId="2" xfId="0" applyNumberFormat="1" applyFont="1" applyBorder="1"/>
    <xf numFmtId="164" fontId="4" fillId="0" borderId="0" xfId="0" applyNumberFormat="1" applyFont="1" applyBorder="1"/>
    <xf numFmtId="6" fontId="18" fillId="0" borderId="0" xfId="0" applyNumberFormat="1" applyFont="1" applyProtection="1">
      <protection locked="0"/>
    </xf>
    <xf numFmtId="0" fontId="6" fillId="0" borderId="0" xfId="0" applyFont="1" applyAlignment="1">
      <alignment horizontal="center"/>
    </xf>
    <xf numFmtId="3" fontId="15" fillId="0" borderId="0" xfId="0" applyNumberFormat="1" applyFont="1" applyProtection="1">
      <protection locked="0"/>
    </xf>
    <xf numFmtId="171" fontId="6" fillId="0" borderId="0" xfId="2" applyNumberFormat="1" applyFont="1" applyAlignment="1" applyProtection="1">
      <alignment horizontal="right"/>
    </xf>
    <xf numFmtId="14" fontId="0" fillId="0" borderId="0" xfId="0" applyNumberFormat="1"/>
    <xf numFmtId="164" fontId="1" fillId="0" borderId="0" xfId="0" applyNumberFormat="1" applyFont="1"/>
    <xf numFmtId="1" fontId="2" fillId="0" borderId="0" xfId="0" applyNumberFormat="1" applyFont="1"/>
    <xf numFmtId="0" fontId="14" fillId="0" borderId="0" xfId="0" applyFont="1" applyAlignment="1">
      <alignment horizontal="center"/>
    </xf>
    <xf numFmtId="165" fontId="1" fillId="0" borderId="0" xfId="0" applyNumberFormat="1" applyFont="1" applyAlignment="1">
      <alignment horizontal="center"/>
    </xf>
    <xf numFmtId="6" fontId="2" fillId="0" borderId="0" xfId="0" applyNumberFormat="1" applyFont="1"/>
    <xf numFmtId="3" fontId="19" fillId="0" borderId="0" xfId="0" applyNumberFormat="1" applyFont="1" applyProtection="1">
      <protection locked="0"/>
    </xf>
    <xf numFmtId="0" fontId="19" fillId="0" borderId="0" xfId="0" applyFont="1" applyProtection="1">
      <protection locked="0"/>
    </xf>
    <xf numFmtId="0" fontId="4" fillId="0" borderId="0" xfId="0" applyFont="1" applyProtection="1">
      <protection locked="0"/>
    </xf>
    <xf numFmtId="9" fontId="4" fillId="0" borderId="0" xfId="2" applyFont="1"/>
    <xf numFmtId="9" fontId="4" fillId="2" borderId="0" xfId="2" applyFont="1" applyFill="1"/>
    <xf numFmtId="6" fontId="4" fillId="2" borderId="0" xfId="0" applyNumberFormat="1" applyFont="1" applyFill="1"/>
    <xf numFmtId="0" fontId="2" fillId="2" borderId="0" xfId="0" applyFont="1" applyFill="1"/>
    <xf numFmtId="0" fontId="4" fillId="2" borderId="0" xfId="0" applyFont="1" applyFill="1"/>
    <xf numFmtId="1" fontId="4" fillId="2" borderId="0" xfId="0" applyNumberFormat="1" applyFont="1" applyFill="1"/>
    <xf numFmtId="165" fontId="4" fillId="2" borderId="0" xfId="0" applyNumberFormat="1" applyFont="1" applyFill="1"/>
    <xf numFmtId="164" fontId="0" fillId="2" borderId="0" xfId="0" applyNumberFormat="1" applyFill="1"/>
    <xf numFmtId="168" fontId="3" fillId="0" borderId="0" xfId="0" applyNumberFormat="1" applyFont="1"/>
    <xf numFmtId="0" fontId="3" fillId="0" borderId="0" xfId="0" applyFont="1" applyAlignment="1">
      <alignment horizontal="right"/>
    </xf>
    <xf numFmtId="8" fontId="7" fillId="0" borderId="0" xfId="0" applyNumberFormat="1" applyFont="1" applyProtection="1">
      <protection locked="0"/>
    </xf>
    <xf numFmtId="167" fontId="11" fillId="0" borderId="0" xfId="0" applyNumberFormat="1" applyFont="1" applyProtection="1">
      <protection locked="0"/>
    </xf>
    <xf numFmtId="6" fontId="4" fillId="0" borderId="0" xfId="0" applyNumberFormat="1" applyFont="1" applyProtection="1"/>
    <xf numFmtId="167" fontId="0" fillId="0" borderId="0" xfId="0" applyNumberFormat="1"/>
    <xf numFmtId="1" fontId="4" fillId="2" borderId="0" xfId="0" applyNumberFormat="1" applyFont="1" applyFill="1" applyBorder="1"/>
    <xf numFmtId="1" fontId="3" fillId="0" borderId="0" xfId="0" applyNumberFormat="1" applyFont="1" applyBorder="1" applyProtection="1"/>
    <xf numFmtId="0" fontId="4" fillId="0" borderId="0" xfId="0" applyFont="1" applyAlignment="1">
      <alignment horizontal="right"/>
    </xf>
    <xf numFmtId="3" fontId="3" fillId="0" borderId="0" xfId="0" applyNumberFormat="1" applyFont="1"/>
    <xf numFmtId="3" fontId="4" fillId="2" borderId="0" xfId="0" applyNumberFormat="1" applyFont="1" applyFill="1"/>
    <xf numFmtId="0" fontId="4" fillId="0" borderId="0" xfId="0" applyFont="1" applyFill="1"/>
    <xf numFmtId="9" fontId="3" fillId="0" borderId="0" xfId="0" applyNumberFormat="1" applyFont="1"/>
    <xf numFmtId="164" fontId="4" fillId="2" borderId="0" xfId="0" applyNumberFormat="1" applyFont="1" applyFill="1"/>
    <xf numFmtId="169" fontId="4" fillId="0" borderId="0" xfId="2" applyNumberFormat="1" applyFont="1"/>
    <xf numFmtId="166" fontId="3" fillId="0" borderId="0" xfId="0" applyNumberFormat="1" applyFont="1" applyBorder="1" applyProtection="1"/>
    <xf numFmtId="166" fontId="7" fillId="0" borderId="6" xfId="0" applyNumberFormat="1" applyFont="1" applyBorder="1" applyProtection="1">
      <protection locked="0"/>
    </xf>
    <xf numFmtId="1" fontId="4" fillId="2" borderId="0" xfId="0" applyNumberFormat="1" applyFont="1" applyFill="1" applyBorder="1" applyAlignment="1">
      <alignment horizontal="right"/>
    </xf>
    <xf numFmtId="0" fontId="3" fillId="0" borderId="0" xfId="0" applyFont="1" applyFill="1"/>
    <xf numFmtId="0" fontId="0" fillId="2" borderId="0" xfId="0" applyFill="1"/>
    <xf numFmtId="169" fontId="4" fillId="2" borderId="0" xfId="0" applyNumberFormat="1" applyFont="1" applyFill="1"/>
    <xf numFmtId="1" fontId="11" fillId="0" borderId="7" xfId="0" applyNumberFormat="1" applyFont="1" applyBorder="1" applyProtection="1">
      <protection locked="0"/>
    </xf>
    <xf numFmtId="166" fontId="19" fillId="0" borderId="1" xfId="0" applyNumberFormat="1" applyFont="1" applyBorder="1" applyProtection="1">
      <protection locked="0"/>
    </xf>
    <xf numFmtId="9" fontId="10" fillId="0" borderId="0" xfId="0" applyNumberFormat="1" applyFont="1"/>
    <xf numFmtId="0" fontId="22" fillId="0" borderId="0" xfId="0" applyFont="1"/>
    <xf numFmtId="0" fontId="0" fillId="0" borderId="0" xfId="0" applyAlignment="1">
      <alignment wrapText="1"/>
    </xf>
    <xf numFmtId="0" fontId="22" fillId="0" borderId="0" xfId="0" applyFont="1" applyAlignment="1">
      <alignment horizontal="justify" vertical="center"/>
    </xf>
    <xf numFmtId="0" fontId="23" fillId="0" borderId="0" xfId="0" applyFont="1" applyAlignment="1">
      <alignment vertical="center"/>
    </xf>
    <xf numFmtId="0" fontId="0" fillId="0" borderId="0" xfId="0" applyFont="1" applyAlignment="1">
      <alignment vertical="center" wrapText="1"/>
    </xf>
    <xf numFmtId="0" fontId="22" fillId="0" borderId="0" xfId="0" applyFont="1" applyAlignment="1">
      <alignment vertical="center" wrapText="1"/>
    </xf>
    <xf numFmtId="2" fontId="3" fillId="0" borderId="0" xfId="0" applyNumberFormat="1" applyFont="1" applyBorder="1" applyProtection="1"/>
    <xf numFmtId="2" fontId="3" fillId="0" borderId="0" xfId="0" applyNumberFormat="1" applyFont="1" applyProtection="1"/>
    <xf numFmtId="1" fontId="11" fillId="0" borderId="1" xfId="0" applyNumberFormat="1" applyFont="1" applyBorder="1" applyProtection="1">
      <protection locked="0"/>
    </xf>
    <xf numFmtId="9" fontId="4" fillId="0" borderId="0" xfId="0" applyNumberFormat="1" applyFont="1"/>
    <xf numFmtId="168" fontId="7" fillId="0" borderId="1" xfId="1" applyNumberFormat="1" applyFont="1" applyBorder="1" applyProtection="1">
      <protection locked="0"/>
    </xf>
    <xf numFmtId="1" fontId="4" fillId="0" borderId="0" xfId="0" applyNumberFormat="1" applyFont="1" applyProtection="1"/>
    <xf numFmtId="0" fontId="0" fillId="0" borderId="0" xfId="0" applyAlignment="1">
      <alignment horizontal="center"/>
    </xf>
    <xf numFmtId="8" fontId="3" fillId="0" borderId="0" xfId="0" applyNumberFormat="1" applyFont="1"/>
    <xf numFmtId="6" fontId="19" fillId="0" borderId="0" xfId="0" applyNumberFormat="1" applyFont="1"/>
    <xf numFmtId="164" fontId="1" fillId="2" borderId="0" xfId="0" applyNumberFormat="1" applyFont="1" applyFill="1"/>
    <xf numFmtId="8" fontId="4" fillId="0" borderId="0" xfId="0" applyNumberFormat="1" applyFont="1" applyProtection="1"/>
    <xf numFmtId="165" fontId="4" fillId="0" borderId="0" xfId="0" applyNumberFormat="1" applyFont="1" applyBorder="1"/>
    <xf numFmtId="1" fontId="4" fillId="0" borderId="0" xfId="0" applyNumberFormat="1" applyFont="1" applyBorder="1"/>
    <xf numFmtId="8" fontId="4" fillId="2" borderId="0" xfId="0" applyNumberFormat="1" applyFont="1" applyFill="1"/>
    <xf numFmtId="169" fontId="3" fillId="0" borderId="0" xfId="2" applyNumberFormat="1" applyFont="1"/>
    <xf numFmtId="165" fontId="4" fillId="0" borderId="0" xfId="2" applyNumberFormat="1" applyFont="1"/>
    <xf numFmtId="3" fontId="4" fillId="0" borderId="0" xfId="0" applyNumberFormat="1" applyFont="1"/>
    <xf numFmtId="0" fontId="4" fillId="0" borderId="0" xfId="0" applyFont="1" applyAlignment="1">
      <alignment horizontal="center"/>
    </xf>
    <xf numFmtId="0" fontId="20" fillId="0" borderId="0" xfId="0" applyFont="1" applyAlignment="1">
      <alignment horizontal="center"/>
    </xf>
    <xf numFmtId="171" fontId="4" fillId="0" borderId="0" xfId="2" applyNumberFormat="1" applyFont="1" applyAlignment="1" applyProtection="1">
      <alignment horizontal="right"/>
    </xf>
    <xf numFmtId="165" fontId="3" fillId="0" borderId="0" xfId="2" applyNumberFormat="1" applyFont="1" applyAlignment="1" applyProtection="1">
      <alignment horizontal="right"/>
    </xf>
    <xf numFmtId="164" fontId="22" fillId="0" borderId="0" xfId="0" applyNumberFormat="1" applyFont="1"/>
    <xf numFmtId="3" fontId="22" fillId="0" borderId="0" xfId="0" applyNumberFormat="1" applyFont="1"/>
    <xf numFmtId="0" fontId="25" fillId="0" borderId="1" xfId="0" applyFont="1" applyBorder="1" applyAlignment="1" applyProtection="1">
      <alignment horizontal="left"/>
      <protection locked="0"/>
    </xf>
    <xf numFmtId="1" fontId="26" fillId="0" borderId="0" xfId="0" applyNumberFormat="1" applyFont="1" applyAlignment="1" applyProtection="1">
      <alignment horizontal="right"/>
      <protection locked="0"/>
    </xf>
    <xf numFmtId="3" fontId="26" fillId="0" borderId="1" xfId="0" applyNumberFormat="1" applyFont="1" applyBorder="1" applyProtection="1"/>
    <xf numFmtId="3" fontId="11" fillId="0" borderId="1" xfId="0" applyNumberFormat="1" applyFont="1" applyBorder="1" applyProtection="1"/>
    <xf numFmtId="167" fontId="4" fillId="0" borderId="0" xfId="0" applyNumberFormat="1" applyFont="1" applyAlignment="1">
      <alignment horizontal="center"/>
    </xf>
    <xf numFmtId="2" fontId="1" fillId="0" borderId="0" xfId="0" applyNumberFormat="1" applyFont="1"/>
    <xf numFmtId="0" fontId="4" fillId="0" borderId="0" xfId="0" applyNumberFormat="1" applyFont="1" applyAlignment="1">
      <alignment horizontal="center"/>
    </xf>
    <xf numFmtId="0" fontId="0" fillId="0" borderId="0" xfId="0" applyNumberFormat="1" applyAlignment="1">
      <alignment horizontal="center"/>
    </xf>
    <xf numFmtId="0" fontId="27" fillId="0" borderId="0" xfId="0" applyFont="1" applyAlignment="1"/>
    <xf numFmtId="0" fontId="0" fillId="0" borderId="0" xfId="0" applyAlignment="1"/>
    <xf numFmtId="3" fontId="4" fillId="0" borderId="0" xfId="0" applyNumberFormat="1" applyFont="1" applyProtection="1"/>
    <xf numFmtId="8" fontId="22" fillId="0" borderId="0" xfId="0" applyNumberFormat="1" applyFont="1"/>
    <xf numFmtId="0" fontId="1" fillId="0" borderId="0" xfId="0" applyFont="1" applyAlignment="1">
      <alignment horizontal="justify" vertical="center"/>
    </xf>
    <xf numFmtId="167" fontId="4" fillId="0" borderId="0" xfId="0" applyNumberFormat="1" applyFont="1"/>
    <xf numFmtId="0" fontId="4" fillId="0" borderId="0" xfId="0" applyFont="1" applyAlignment="1">
      <alignment horizontal="center"/>
    </xf>
    <xf numFmtId="0" fontId="0" fillId="0" borderId="0" xfId="0" applyAlignment="1">
      <alignment horizontal="center"/>
    </xf>
    <xf numFmtId="0" fontId="19" fillId="0" borderId="3" xfId="0" applyFont="1" applyBorder="1" applyAlignment="1" applyProtection="1">
      <protection locked="0"/>
    </xf>
    <xf numFmtId="0" fontId="21" fillId="0" borderId="4" xfId="0" applyFont="1" applyBorder="1" applyAlignment="1" applyProtection="1">
      <protection locked="0"/>
    </xf>
    <xf numFmtId="0" fontId="21" fillId="0" borderId="5" xfId="0" applyFont="1" applyBorder="1" applyAlignment="1" applyProtection="1">
      <protection locked="0"/>
    </xf>
    <xf numFmtId="0" fontId="20" fillId="0" borderId="0" xfId="0" applyFont="1" applyAlignment="1">
      <alignment horizontal="center"/>
    </xf>
    <xf numFmtId="0" fontId="4" fillId="0" borderId="0" xfId="0" applyFont="1" applyAlignment="1">
      <alignment horizontal="left"/>
    </xf>
    <xf numFmtId="0" fontId="3" fillId="0" borderId="0" xfId="0" applyFont="1" applyAlignment="1">
      <alignment horizontal="left"/>
    </xf>
    <xf numFmtId="0" fontId="24" fillId="0" borderId="3" xfId="0" applyFont="1" applyBorder="1" applyAlignment="1" applyProtection="1">
      <protection locked="0"/>
    </xf>
    <xf numFmtId="0" fontId="0" fillId="0" borderId="4" xfId="0" applyBorder="1" applyAlignment="1"/>
    <xf numFmtId="0" fontId="0" fillId="0" borderId="5" xfId="0" applyBorder="1" applyAlignment="1"/>
    <xf numFmtId="0" fontId="4" fillId="0" borderId="0" xfId="0" applyNumberFormat="1" applyFont="1" applyAlignment="1">
      <alignment horizontal="center"/>
    </xf>
    <xf numFmtId="0" fontId="0" fillId="0" borderId="0" xfId="0" applyNumberFormat="1" applyAlignment="1">
      <alignment horizontal="center"/>
    </xf>
    <xf numFmtId="0" fontId="27" fillId="0" borderId="0" xfId="0" applyFont="1" applyAlignment="1"/>
    <xf numFmtId="0" fontId="0" fillId="0" borderId="0" xfId="0" applyAlignment="1"/>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Replacement Heifer Projected </a:t>
            </a:r>
            <a:r>
              <a:rPr lang="en-US" baseline="0"/>
              <a:t> Cost Summary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44B-493B-B02D-4338213B8F59}"/>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44B-493B-B02D-4338213B8F59}"/>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44B-493B-B02D-4338213B8F59}"/>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B44B-493B-B02D-4338213B8F59}"/>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B44B-493B-B02D-4338213B8F59}"/>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B44B-493B-B02D-4338213B8F59}"/>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B44B-493B-B02D-4338213B8F5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 Summary Report'!$F$47:$F$53</c:f>
              <c:strCache>
                <c:ptCount val="7"/>
                <c:pt idx="0">
                  <c:v> Heifer Initial Cost</c:v>
                </c:pt>
                <c:pt idx="1">
                  <c:v>  Feed &amp; Grazing </c:v>
                </c:pt>
                <c:pt idx="2">
                  <c:v>  Process &amp; Health</c:v>
                </c:pt>
                <c:pt idx="3">
                  <c:v>  Breeding System </c:v>
                </c:pt>
                <c:pt idx="4">
                  <c:v>  Other Direct Costs</c:v>
                </c:pt>
                <c:pt idx="5">
                  <c:v> Total Indirect Costs</c:v>
                </c:pt>
                <c:pt idx="6">
                  <c:v>  Finance</c:v>
                </c:pt>
              </c:strCache>
            </c:strRef>
          </c:cat>
          <c:val>
            <c:numRef>
              <c:f>'2. Summary Report'!$G$47:$G$53</c:f>
              <c:numCache>
                <c:formatCode>"$"#,##0_);[Red]\("$"#,##0\)</c:formatCode>
                <c:ptCount val="7"/>
                <c:pt idx="0">
                  <c:v>850</c:v>
                </c:pt>
                <c:pt idx="1">
                  <c:v>245.1</c:v>
                </c:pt>
                <c:pt idx="2">
                  <c:v>20</c:v>
                </c:pt>
                <c:pt idx="3">
                  <c:v>76.800000000000011</c:v>
                </c:pt>
                <c:pt idx="4">
                  <c:v>0</c:v>
                </c:pt>
                <c:pt idx="5">
                  <c:v>152.15200000000002</c:v>
                </c:pt>
                <c:pt idx="6">
                  <c:v>65.532024029074663</c:v>
                </c:pt>
              </c:numCache>
            </c:numRef>
          </c:val>
          <c:extLst>
            <c:ext xmlns:c16="http://schemas.microsoft.com/office/drawing/2014/chart" uri="{C3380CC4-5D6E-409C-BE32-E72D297353CC}">
              <c16:uniqueId val="{00000000-AC09-45E7-A547-D3F5590F61B3}"/>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5443</xdr:colOff>
      <xdr:row>1</xdr:row>
      <xdr:rowOff>30843</xdr:rowOff>
    </xdr:from>
    <xdr:to>
      <xdr:col>9</xdr:col>
      <xdr:colOff>5444</xdr:colOff>
      <xdr:row>2</xdr:row>
      <xdr:rowOff>81643</xdr:rowOff>
    </xdr:to>
    <xdr:pic>
      <xdr:nvPicPr>
        <xdr:cNvPr id="3" name="Picture 2" descr="TAMAgEX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64386" y="226786"/>
          <a:ext cx="816429"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70757</xdr:colOff>
      <xdr:row>44</xdr:row>
      <xdr:rowOff>103414</xdr:rowOff>
    </xdr:from>
    <xdr:to>
      <xdr:col>3</xdr:col>
      <xdr:colOff>1006929</xdr:colOff>
      <xdr:row>60</xdr:row>
      <xdr:rowOff>81642</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84"/>
  <sheetViews>
    <sheetView tabSelected="1" topLeftCell="A43" zoomScaleNormal="100" workbookViewId="0">
      <selection activeCell="C20" sqref="C20"/>
    </sheetView>
  </sheetViews>
  <sheetFormatPr defaultRowHeight="12.45" x14ac:dyDescent="0.3"/>
  <cols>
    <col min="1" max="1" width="4.4609375" customWidth="1"/>
    <col min="2" max="2" width="47.4609375" customWidth="1"/>
    <col min="3" max="3" width="13.84375" customWidth="1"/>
    <col min="4" max="4" width="15.15234375" customWidth="1"/>
    <col min="5" max="5" width="11.15234375" customWidth="1"/>
    <col min="6" max="6" width="14.15234375" customWidth="1"/>
    <col min="7" max="7" width="11.15234375" customWidth="1"/>
    <col min="9" max="9" width="11.53515625" customWidth="1"/>
    <col min="10" max="10" width="10.23046875" bestFit="1" customWidth="1"/>
    <col min="11" max="11" width="8.921875" bestFit="1" customWidth="1"/>
    <col min="13" max="13" width="9.84375" bestFit="1" customWidth="1"/>
    <col min="14" max="14" width="13.69140625" bestFit="1" customWidth="1"/>
    <col min="18" max="18" width="12.69140625" customWidth="1"/>
  </cols>
  <sheetData>
    <row r="1" spans="2:11" ht="15.45" x14ac:dyDescent="0.4">
      <c r="B1" s="167" t="s">
        <v>107</v>
      </c>
      <c r="C1" s="168"/>
      <c r="D1" s="168"/>
      <c r="E1" s="168"/>
      <c r="F1" s="168"/>
      <c r="G1" s="168"/>
    </row>
    <row r="2" spans="2:11" ht="20.05" customHeight="1" x14ac:dyDescent="0.35">
      <c r="C2" s="2"/>
      <c r="D2" s="2"/>
      <c r="E2" s="2"/>
      <c r="F2" s="2"/>
      <c r="G2" s="2"/>
      <c r="I2" s="2"/>
      <c r="J2" s="56" t="s">
        <v>105</v>
      </c>
      <c r="K2" s="83">
        <v>43291</v>
      </c>
    </row>
    <row r="3" spans="2:11" ht="18" customHeight="1" x14ac:dyDescent="0.4">
      <c r="B3" s="2" t="s">
        <v>168</v>
      </c>
      <c r="C3" s="169" t="s">
        <v>169</v>
      </c>
      <c r="D3" s="170"/>
      <c r="E3" s="170"/>
      <c r="F3" s="171"/>
      <c r="G3" s="3" t="s">
        <v>162</v>
      </c>
    </row>
    <row r="4" spans="2:11" ht="15.45" x14ac:dyDescent="0.4">
      <c r="B4" s="2" t="s">
        <v>96</v>
      </c>
      <c r="C4" s="116">
        <v>43388</v>
      </c>
      <c r="D4" s="2"/>
      <c r="G4" s="132">
        <v>100</v>
      </c>
      <c r="I4" s="36">
        <v>43146</v>
      </c>
      <c r="J4" t="s">
        <v>87</v>
      </c>
    </row>
    <row r="5" spans="2:11" ht="15.45" x14ac:dyDescent="0.4">
      <c r="B5" s="2"/>
      <c r="C5" s="38" t="s">
        <v>27</v>
      </c>
      <c r="D5" s="39" t="s">
        <v>28</v>
      </c>
      <c r="E5" s="39" t="s">
        <v>1</v>
      </c>
      <c r="F5" s="3" t="s">
        <v>36</v>
      </c>
      <c r="G5" s="3" t="s">
        <v>86</v>
      </c>
      <c r="I5" s="40">
        <f>((C4-I4)/(365/12))</f>
        <v>7.9561643835616431</v>
      </c>
      <c r="J5" t="s">
        <v>88</v>
      </c>
    </row>
    <row r="6" spans="2:11" ht="15.45" x14ac:dyDescent="0.4">
      <c r="B6" s="2" t="s">
        <v>178</v>
      </c>
      <c r="C6" s="25">
        <v>500</v>
      </c>
      <c r="D6" s="47">
        <v>170</v>
      </c>
      <c r="E6" s="19">
        <f>C6*D6*0.01</f>
        <v>850</v>
      </c>
      <c r="F6" s="19">
        <f>G4*E6</f>
        <v>85000</v>
      </c>
      <c r="G6" s="93">
        <f>F6/$F$54</f>
        <v>0.60301477989968166</v>
      </c>
      <c r="I6" s="40">
        <f>((C22-I4)/(365/12))</f>
        <v>14.663013698630136</v>
      </c>
      <c r="J6" t="s">
        <v>89</v>
      </c>
    </row>
    <row r="7" spans="2:11" ht="15.45" x14ac:dyDescent="0.4">
      <c r="B7" s="2"/>
      <c r="C7" s="16"/>
      <c r="D7" s="15"/>
      <c r="E7" s="19"/>
      <c r="F7" s="14"/>
      <c r="G7" s="2"/>
      <c r="I7" s="40">
        <f>((C25-I4)/(365/12))</f>
        <v>18.115068493150684</v>
      </c>
      <c r="J7" t="s">
        <v>91</v>
      </c>
    </row>
    <row r="8" spans="2:11" ht="15" x14ac:dyDescent="0.35">
      <c r="B8" s="4"/>
      <c r="C8" s="2"/>
      <c r="D8" s="41" t="s">
        <v>29</v>
      </c>
      <c r="E8" s="59" t="s">
        <v>32</v>
      </c>
      <c r="F8" s="59" t="s">
        <v>73</v>
      </c>
      <c r="G8" s="2"/>
      <c r="I8" s="40">
        <f>((C27-I4)/(365/12))</f>
        <v>23.967123287671232</v>
      </c>
      <c r="J8" t="s">
        <v>90</v>
      </c>
    </row>
    <row r="9" spans="2:11" ht="15" x14ac:dyDescent="0.35">
      <c r="B9" s="4" t="s">
        <v>30</v>
      </c>
      <c r="C9" s="36">
        <v>43521</v>
      </c>
      <c r="D9" s="48">
        <v>2</v>
      </c>
      <c r="E9" s="2">
        <f>G4*D9*0.01</f>
        <v>2</v>
      </c>
      <c r="F9" s="2"/>
      <c r="G9" s="2"/>
    </row>
    <row r="10" spans="2:11" ht="15" x14ac:dyDescent="0.35">
      <c r="B10" s="2"/>
      <c r="C10" s="38" t="s">
        <v>27</v>
      </c>
      <c r="D10" s="39" t="s">
        <v>28</v>
      </c>
      <c r="E10" s="39" t="s">
        <v>1</v>
      </c>
      <c r="F10" s="2"/>
      <c r="G10" s="2"/>
      <c r="I10" s="43">
        <f>(C11*E9+C19*E17+E16*C26)</f>
        <v>89500</v>
      </c>
      <c r="J10" t="s">
        <v>67</v>
      </c>
    </row>
    <row r="11" spans="2:11" ht="15.45" x14ac:dyDescent="0.4">
      <c r="B11" s="2" t="s">
        <v>31</v>
      </c>
      <c r="C11" s="25">
        <v>650</v>
      </c>
      <c r="D11" s="47">
        <v>165</v>
      </c>
      <c r="E11" s="19">
        <f>C11*D11*0.01</f>
        <v>1072.5</v>
      </c>
      <c r="F11" s="14">
        <f>E11*E9</f>
        <v>2145</v>
      </c>
      <c r="G11" s="2"/>
      <c r="I11" s="43">
        <f>C6*G4</f>
        <v>50000</v>
      </c>
      <c r="J11" t="s">
        <v>68</v>
      </c>
    </row>
    <row r="12" spans="2:11" ht="15.45" x14ac:dyDescent="0.4">
      <c r="B12" s="2"/>
      <c r="C12" s="16"/>
      <c r="D12" s="15"/>
      <c r="E12" s="19" t="s">
        <v>41</v>
      </c>
      <c r="F12" s="14"/>
      <c r="G12" s="2"/>
      <c r="I12" s="44">
        <f>I10-I11</f>
        <v>39500</v>
      </c>
      <c r="J12" t="s">
        <v>69</v>
      </c>
    </row>
    <row r="13" spans="2:11" ht="15" x14ac:dyDescent="0.35">
      <c r="B13" s="2" t="s">
        <v>4</v>
      </c>
      <c r="C13" s="48">
        <v>0</v>
      </c>
      <c r="D13" t="s">
        <v>8</v>
      </c>
      <c r="E13" s="2">
        <f>C13*G4*0.01</f>
        <v>0</v>
      </c>
      <c r="G13" s="2"/>
    </row>
    <row r="14" spans="2:11" ht="15" x14ac:dyDescent="0.35">
      <c r="B14" s="2" t="s">
        <v>160</v>
      </c>
      <c r="C14" s="131">
        <f>I15</f>
        <v>1.2980440612019559</v>
      </c>
      <c r="E14" s="2"/>
      <c r="G14" s="2"/>
    </row>
    <row r="15" spans="2:11" ht="15.45" x14ac:dyDescent="0.4">
      <c r="B15" s="3" t="s">
        <v>33</v>
      </c>
      <c r="C15" s="18"/>
      <c r="E15" s="42">
        <f>G4-E9-E13</f>
        <v>98</v>
      </c>
      <c r="F15" s="2"/>
      <c r="G15" s="2"/>
      <c r="I15" s="57">
        <f>I12/J27</f>
        <v>1.2980440612019559</v>
      </c>
      <c r="J15" t="s">
        <v>70</v>
      </c>
    </row>
    <row r="16" spans="2:11" ht="15.45" x14ac:dyDescent="0.4">
      <c r="B16" s="3" t="s">
        <v>42</v>
      </c>
      <c r="C16" s="121">
        <v>88</v>
      </c>
      <c r="D16" t="s">
        <v>8</v>
      </c>
      <c r="E16" s="42">
        <f>E15*C16*0.01</f>
        <v>86.24</v>
      </c>
      <c r="F16" s="2"/>
      <c r="G16" s="2"/>
    </row>
    <row r="17" spans="2:12" ht="15.45" x14ac:dyDescent="0.4">
      <c r="B17" s="3" t="s">
        <v>34</v>
      </c>
      <c r="C17" s="122">
        <v>43687</v>
      </c>
      <c r="E17" s="42">
        <f>E15-E16</f>
        <v>11.760000000000005</v>
      </c>
      <c r="F17" s="2" t="s">
        <v>149</v>
      </c>
      <c r="G17" s="2"/>
    </row>
    <row r="18" spans="2:12" ht="15" x14ac:dyDescent="0.35">
      <c r="B18" s="2"/>
      <c r="C18" s="38" t="s">
        <v>27</v>
      </c>
      <c r="D18" s="39" t="s">
        <v>28</v>
      </c>
      <c r="E18" s="39" t="s">
        <v>1</v>
      </c>
      <c r="F18" s="2"/>
      <c r="G18" s="2"/>
    </row>
    <row r="19" spans="2:12" ht="15" x14ac:dyDescent="0.35">
      <c r="B19" s="2" t="s">
        <v>43</v>
      </c>
      <c r="C19" s="25">
        <v>900</v>
      </c>
      <c r="D19" s="47">
        <v>140</v>
      </c>
      <c r="E19" s="45">
        <f>C19*D19*0.01</f>
        <v>1260</v>
      </c>
      <c r="F19" s="45">
        <f>E17*E19</f>
        <v>14817.600000000006</v>
      </c>
      <c r="I19" s="61">
        <f>($E15-$E16)</f>
        <v>11.760000000000005</v>
      </c>
      <c r="J19" s="22" t="s">
        <v>35</v>
      </c>
    </row>
    <row r="20" spans="2:12" ht="15.45" x14ac:dyDescent="0.4">
      <c r="B20" s="2" t="s">
        <v>84</v>
      </c>
      <c r="C20" s="16"/>
      <c r="D20" s="15"/>
      <c r="E20" s="49">
        <v>1500</v>
      </c>
      <c r="F20" s="45">
        <f>E20*E16</f>
        <v>129359.99999999999</v>
      </c>
      <c r="I20" s="62">
        <f>D66</f>
        <v>53.641975970925266</v>
      </c>
      <c r="J20" t="s">
        <v>83</v>
      </c>
    </row>
    <row r="21" spans="2:12" ht="15.45" x14ac:dyDescent="0.4">
      <c r="B21" s="94" t="s">
        <v>95</v>
      </c>
      <c r="C21" s="95"/>
      <c r="D21" s="95"/>
      <c r="E21" s="96"/>
      <c r="F21" s="94">
        <f>F20+F19+F11</f>
        <v>146322.59999999998</v>
      </c>
      <c r="G21" s="2"/>
      <c r="I21" t="s">
        <v>37</v>
      </c>
      <c r="J21" t="s">
        <v>40</v>
      </c>
    </row>
    <row r="22" spans="2:12" ht="15" x14ac:dyDescent="0.35">
      <c r="B22" s="2" t="s">
        <v>97</v>
      </c>
      <c r="C22" s="36">
        <v>43592</v>
      </c>
      <c r="D22" s="40">
        <f>I6</f>
        <v>14.663013698630136</v>
      </c>
      <c r="E22" s="22" t="s">
        <v>94</v>
      </c>
      <c r="F22" s="2"/>
      <c r="G22" s="2"/>
      <c r="I22" s="40">
        <f>C9-C4</f>
        <v>133</v>
      </c>
      <c r="J22" s="43">
        <f>I22*G4</f>
        <v>13300</v>
      </c>
      <c r="K22" t="s">
        <v>38</v>
      </c>
    </row>
    <row r="23" spans="2:12" ht="15" x14ac:dyDescent="0.35">
      <c r="B23" s="2" t="s">
        <v>101</v>
      </c>
      <c r="C23" s="25">
        <v>60</v>
      </c>
      <c r="E23" s="2"/>
      <c r="F23" s="2"/>
      <c r="G23" s="2"/>
      <c r="I23" s="40">
        <f>C22-C9</f>
        <v>71</v>
      </c>
      <c r="J23" s="43">
        <f>I23*E15</f>
        <v>6958</v>
      </c>
      <c r="K23" t="s">
        <v>39</v>
      </c>
    </row>
    <row r="24" spans="2:12" ht="15" x14ac:dyDescent="0.35">
      <c r="B24" s="2" t="s">
        <v>2</v>
      </c>
      <c r="C24" s="25">
        <v>45</v>
      </c>
      <c r="E24" s="2"/>
      <c r="F24" s="2"/>
      <c r="G24" s="2"/>
      <c r="I24">
        <f>C17-C22</f>
        <v>95</v>
      </c>
      <c r="J24" s="40">
        <f>I24*E17</f>
        <v>1117.2000000000005</v>
      </c>
      <c r="K24" s="22" t="s">
        <v>149</v>
      </c>
      <c r="L24" s="40">
        <f>E16</f>
        <v>86.24</v>
      </c>
    </row>
    <row r="25" spans="2:12" ht="15" x14ac:dyDescent="0.35">
      <c r="B25" s="2" t="s">
        <v>85</v>
      </c>
      <c r="C25" s="21">
        <f>C22+C23+C24</f>
        <v>43697</v>
      </c>
      <c r="D25" s="37">
        <f>I7</f>
        <v>18.115068493150684</v>
      </c>
      <c r="E25" s="22" t="s">
        <v>92</v>
      </c>
      <c r="F25" s="2"/>
      <c r="G25" s="2"/>
      <c r="I25" s="40">
        <f>C25-C22</f>
        <v>105</v>
      </c>
      <c r="J25" s="43">
        <f>I25*E16</f>
        <v>9055.1999999999989</v>
      </c>
      <c r="K25" s="22" t="s">
        <v>150</v>
      </c>
      <c r="L25" s="40">
        <f>E17</f>
        <v>11.760000000000005</v>
      </c>
    </row>
    <row r="26" spans="2:12" ht="15" x14ac:dyDescent="0.35">
      <c r="B26" s="2" t="s">
        <v>100</v>
      </c>
      <c r="C26" s="134">
        <v>900</v>
      </c>
      <c r="D26" s="37">
        <f>I8</f>
        <v>23.967123287671232</v>
      </c>
      <c r="E26" s="22" t="s">
        <v>93</v>
      </c>
      <c r="F26" s="2"/>
      <c r="G26" s="2"/>
      <c r="J26" s="44">
        <f>SUM(J22:J25)/(E16+E17)</f>
        <v>310.51428571428573</v>
      </c>
      <c r="K26" s="22" t="s">
        <v>151</v>
      </c>
    </row>
    <row r="27" spans="2:12" ht="15" x14ac:dyDescent="0.35">
      <c r="B27" s="2" t="s">
        <v>0</v>
      </c>
      <c r="C27" s="9">
        <f>C22+283</f>
        <v>43875</v>
      </c>
      <c r="D27" s="2"/>
      <c r="E27" s="2"/>
      <c r="F27" s="8"/>
      <c r="G27" s="2"/>
      <c r="J27" s="44">
        <f>SUM(J22:J25)</f>
        <v>30430.400000000001</v>
      </c>
    </row>
    <row r="28" spans="2:12" ht="15" x14ac:dyDescent="0.35">
      <c r="B28" s="2" t="s">
        <v>82</v>
      </c>
      <c r="D28" s="8"/>
      <c r="E28" s="2"/>
      <c r="F28" s="2"/>
      <c r="G28" s="2"/>
    </row>
    <row r="29" spans="2:12" ht="15.45" x14ac:dyDescent="0.4">
      <c r="B29" s="2" t="s">
        <v>217</v>
      </c>
      <c r="C29" s="42">
        <f>J26</f>
        <v>310.51428571428573</v>
      </c>
      <c r="D29" s="2"/>
      <c r="E29" s="166">
        <f>C29/(365/12)</f>
        <v>10.208688845401175</v>
      </c>
      <c r="F29" s="2"/>
      <c r="G29" s="2"/>
    </row>
    <row r="30" spans="2:12" ht="15.45" x14ac:dyDescent="0.4">
      <c r="B30" s="2" t="s">
        <v>211</v>
      </c>
      <c r="C30" t="s">
        <v>40</v>
      </c>
      <c r="D30" s="3" t="s">
        <v>212</v>
      </c>
      <c r="E30" s="3" t="s">
        <v>6</v>
      </c>
      <c r="F30" s="3" t="s">
        <v>213</v>
      </c>
      <c r="G30" s="2"/>
    </row>
    <row r="31" spans="2:12" ht="15" x14ac:dyDescent="0.35">
      <c r="B31" s="90" t="s">
        <v>214</v>
      </c>
      <c r="C31" s="16">
        <v>45</v>
      </c>
      <c r="D31" s="11">
        <v>1.1000000000000001</v>
      </c>
      <c r="E31" s="12">
        <f>(365/12)*D31</f>
        <v>33.458333333333336</v>
      </c>
      <c r="F31" s="26">
        <f>C31*D31*$G$4</f>
        <v>4950.0000000000009</v>
      </c>
      <c r="H31" s="2"/>
    </row>
    <row r="32" spans="2:12" ht="15" x14ac:dyDescent="0.35">
      <c r="B32" s="90" t="s">
        <v>9</v>
      </c>
      <c r="C32" s="89">
        <v>90</v>
      </c>
      <c r="D32" s="11">
        <v>1</v>
      </c>
      <c r="E32" s="12">
        <f t="shared" ref="E32:E34" si="0">(365/12)*D32</f>
        <v>30.416666666666668</v>
      </c>
      <c r="F32" s="26">
        <f>C32*D32*$G$4</f>
        <v>9000</v>
      </c>
      <c r="H32" s="10"/>
    </row>
    <row r="33" spans="2:15" ht="15" x14ac:dyDescent="0.35">
      <c r="B33" s="90" t="s">
        <v>216</v>
      </c>
      <c r="C33" s="89">
        <v>176</v>
      </c>
      <c r="D33" s="11">
        <v>0.6</v>
      </c>
      <c r="E33" s="12">
        <f t="shared" si="0"/>
        <v>18.25</v>
      </c>
      <c r="F33" s="26">
        <f t="shared" ref="F33:F34" si="1">C33*D33*$G$4</f>
        <v>10560</v>
      </c>
      <c r="H33" s="10"/>
      <c r="I33" s="22"/>
    </row>
    <row r="34" spans="2:15" ht="15" x14ac:dyDescent="0.35">
      <c r="B34" s="90" t="s">
        <v>215</v>
      </c>
      <c r="C34" s="89">
        <v>0</v>
      </c>
      <c r="D34" s="11">
        <v>0</v>
      </c>
      <c r="E34" s="12">
        <f t="shared" si="0"/>
        <v>0</v>
      </c>
      <c r="F34" s="26">
        <f t="shared" si="1"/>
        <v>0</v>
      </c>
      <c r="G34" s="22" t="s">
        <v>212</v>
      </c>
      <c r="H34" s="2"/>
      <c r="I34" s="40"/>
    </row>
    <row r="35" spans="2:15" ht="15.45" x14ac:dyDescent="0.4">
      <c r="B35" s="3" t="s">
        <v>10</v>
      </c>
      <c r="C35" s="42">
        <f>SUM(C31:C34)</f>
        <v>311</v>
      </c>
      <c r="D35" s="74">
        <f>F35/G4</f>
        <v>245.1</v>
      </c>
      <c r="E35" s="74">
        <f>D35/E29</f>
        <v>24.008959790209786</v>
      </c>
      <c r="F35" s="29">
        <f>SUM(F31:F34)</f>
        <v>24510</v>
      </c>
      <c r="G35" s="74">
        <f>D35/C35</f>
        <v>0.78810289389067523</v>
      </c>
    </row>
    <row r="36" spans="2:15" ht="15.45" x14ac:dyDescent="0.4">
      <c r="B36" s="3" t="s">
        <v>7</v>
      </c>
      <c r="D36" s="3" t="s">
        <v>5</v>
      </c>
      <c r="E36" s="3"/>
      <c r="F36" s="3" t="s">
        <v>36</v>
      </c>
      <c r="I36" s="6" t="s">
        <v>17</v>
      </c>
      <c r="J36" s="6" t="s">
        <v>16</v>
      </c>
    </row>
    <row r="37" spans="2:15" ht="15" x14ac:dyDescent="0.35">
      <c r="B37" s="2" t="s">
        <v>178</v>
      </c>
      <c r="D37" s="14">
        <f>F37/$G$4</f>
        <v>850</v>
      </c>
      <c r="E37" s="137"/>
      <c r="F37" s="14">
        <f>F6</f>
        <v>85000</v>
      </c>
      <c r="I37" s="136"/>
      <c r="J37" s="136"/>
    </row>
    <row r="38" spans="2:15" ht="15" x14ac:dyDescent="0.35">
      <c r="B38" s="2" t="s">
        <v>99</v>
      </c>
      <c r="C38" s="2"/>
      <c r="D38" s="14">
        <f>D35</f>
        <v>245.1</v>
      </c>
      <c r="E38" s="7"/>
      <c r="F38" s="26">
        <f>D38*$G$4</f>
        <v>24510</v>
      </c>
      <c r="G38" s="63">
        <f>F38/$F$54</f>
        <v>0.17388108535695526</v>
      </c>
      <c r="I38" s="6" t="s">
        <v>18</v>
      </c>
      <c r="J38" s="6" t="s">
        <v>19</v>
      </c>
    </row>
    <row r="39" spans="2:15" ht="15" x14ac:dyDescent="0.35">
      <c r="B39" s="2" t="s">
        <v>98</v>
      </c>
      <c r="C39" s="2"/>
      <c r="D39" s="14">
        <v>20</v>
      </c>
      <c r="E39" s="2"/>
      <c r="F39" s="26">
        <f>D39*$G$4</f>
        <v>2000</v>
      </c>
      <c r="G39" s="63">
        <f t="shared" ref="G39:G52" si="2">F39/$F$54</f>
        <v>1.4188583056463097E-2</v>
      </c>
      <c r="I39" s="37">
        <f>C26-C6</f>
        <v>400</v>
      </c>
      <c r="J39" s="20">
        <f>D38/I39</f>
        <v>0.61275000000000002</v>
      </c>
    </row>
    <row r="40" spans="2:15" ht="15" x14ac:dyDescent="0.35">
      <c r="B40" s="2" t="s">
        <v>179</v>
      </c>
      <c r="C40" s="2"/>
      <c r="D40" s="14"/>
      <c r="E40" s="2"/>
      <c r="F40" s="26"/>
      <c r="G40" s="63"/>
      <c r="I40" s="37"/>
      <c r="J40" s="20"/>
    </row>
    <row r="41" spans="2:15" ht="15" x14ac:dyDescent="0.35">
      <c r="B41" s="2" t="s">
        <v>66</v>
      </c>
      <c r="C41" s="2"/>
      <c r="D41" s="138">
        <v>5</v>
      </c>
      <c r="E41" s="2"/>
      <c r="F41" s="26">
        <f t="shared" ref="F41:F45" si="3">D41*$G$4</f>
        <v>500</v>
      </c>
      <c r="G41" s="63">
        <f t="shared" si="2"/>
        <v>3.5471457641157744E-3</v>
      </c>
      <c r="I41" s="2"/>
      <c r="J41" s="2"/>
    </row>
    <row r="42" spans="2:15" ht="15" x14ac:dyDescent="0.35">
      <c r="B42" s="17" t="s">
        <v>166</v>
      </c>
      <c r="C42" s="2"/>
      <c r="D42" s="138">
        <v>12</v>
      </c>
      <c r="F42" s="26">
        <f t="shared" si="3"/>
        <v>1200</v>
      </c>
      <c r="G42" s="63">
        <f t="shared" si="2"/>
        <v>8.5131498338778585E-3</v>
      </c>
      <c r="I42" t="s">
        <v>25</v>
      </c>
    </row>
    <row r="43" spans="2:15" ht="15" x14ac:dyDescent="0.35">
      <c r="B43" s="2" t="s">
        <v>79</v>
      </c>
      <c r="C43" s="2"/>
      <c r="D43" s="64">
        <f>'3. Bull Cost'!G21</f>
        <v>59.800000000000004</v>
      </c>
      <c r="F43" s="26">
        <f t="shared" si="3"/>
        <v>5980</v>
      </c>
      <c r="G43" s="63">
        <f t="shared" si="2"/>
        <v>4.2423863338824662E-2</v>
      </c>
      <c r="I43" s="32">
        <f>((F43+F44)/F60)</f>
        <v>4.8227439027079363E-2</v>
      </c>
      <c r="J43" s="33"/>
      <c r="M43" s="34">
        <f>F43+F44</f>
        <v>5980</v>
      </c>
      <c r="N43" t="s">
        <v>26</v>
      </c>
    </row>
    <row r="44" spans="2:15" ht="15" x14ac:dyDescent="0.35">
      <c r="B44" s="17" t="s">
        <v>180</v>
      </c>
      <c r="C44" s="2"/>
      <c r="D44" s="15">
        <v>0</v>
      </c>
      <c r="F44" s="26">
        <f t="shared" si="3"/>
        <v>0</v>
      </c>
      <c r="G44" s="63">
        <f t="shared" si="2"/>
        <v>0</v>
      </c>
      <c r="I44" s="32"/>
      <c r="J44" s="33"/>
      <c r="M44" s="20"/>
    </row>
    <row r="45" spans="2:15" ht="15" x14ac:dyDescent="0.35">
      <c r="B45" s="17" t="s">
        <v>180</v>
      </c>
      <c r="C45" s="2"/>
      <c r="D45" s="15">
        <v>0</v>
      </c>
      <c r="E45" s="34"/>
      <c r="F45" s="26">
        <f t="shared" si="3"/>
        <v>0</v>
      </c>
      <c r="G45" s="63">
        <f t="shared" si="2"/>
        <v>0</v>
      </c>
      <c r="I45" s="60">
        <f>(F11+F19+F20)</f>
        <v>146322.59999999998</v>
      </c>
      <c r="J45" t="s">
        <v>72</v>
      </c>
    </row>
    <row r="46" spans="2:15" ht="15.45" x14ac:dyDescent="0.4">
      <c r="B46" s="91" t="s">
        <v>118</v>
      </c>
      <c r="C46" s="2"/>
      <c r="D46" s="29">
        <f>F46/G4</f>
        <v>1191.9000000000001</v>
      </c>
      <c r="E46" s="88"/>
      <c r="F46" s="29">
        <f>SUM(F38:F45)+F6</f>
        <v>119190</v>
      </c>
      <c r="G46" s="63"/>
    </row>
    <row r="47" spans="2:15" ht="15.45" x14ac:dyDescent="0.4">
      <c r="B47" s="91" t="s">
        <v>119</v>
      </c>
      <c r="C47" s="101" t="s">
        <v>40</v>
      </c>
      <c r="D47" s="15"/>
      <c r="F47" s="26"/>
      <c r="G47" s="63"/>
      <c r="I47" s="60"/>
    </row>
    <row r="48" spans="2:15" ht="15" x14ac:dyDescent="0.35">
      <c r="B48" s="2" t="s">
        <v>120</v>
      </c>
      <c r="C48" s="100">
        <f>J26</f>
        <v>310.51428571428573</v>
      </c>
      <c r="D48" s="102">
        <v>0.5</v>
      </c>
      <c r="F48" s="26">
        <f>C48*D48*$E$15</f>
        <v>15215.2</v>
      </c>
      <c r="G48" s="63">
        <f t="shared" si="2"/>
        <v>0.10794106446034867</v>
      </c>
      <c r="I48" s="54">
        <f>F54</f>
        <v>140958.40240290746</v>
      </c>
      <c r="J48" s="22" t="s">
        <v>123</v>
      </c>
      <c r="N48" s="34">
        <f>SUM(F38:F49)</f>
        <v>168595.20000000001</v>
      </c>
      <c r="O48" t="s">
        <v>20</v>
      </c>
    </row>
    <row r="49" spans="2:18" ht="15" x14ac:dyDescent="0.35">
      <c r="B49" s="2" t="s">
        <v>121</v>
      </c>
      <c r="C49" s="2"/>
      <c r="D49" s="15">
        <v>0</v>
      </c>
      <c r="F49" s="26">
        <f>D49*$G$4</f>
        <v>0</v>
      </c>
      <c r="G49" s="63">
        <f t="shared" si="2"/>
        <v>0</v>
      </c>
      <c r="I49" s="30">
        <f>I45-I48</f>
        <v>5364.1975970925123</v>
      </c>
      <c r="J49" s="24" t="s">
        <v>23</v>
      </c>
      <c r="K49" s="1"/>
      <c r="N49" s="35">
        <f>(($F$6+(SUM($F$38:$F$49)*0.5)))</f>
        <v>169297.6</v>
      </c>
      <c r="O49" t="s">
        <v>22</v>
      </c>
      <c r="R49" s="20">
        <f>N48*0.5</f>
        <v>84297.600000000006</v>
      </c>
    </row>
    <row r="50" spans="2:18" ht="15.45" x14ac:dyDescent="0.4">
      <c r="B50" s="91" t="s">
        <v>122</v>
      </c>
      <c r="C50" s="2"/>
      <c r="D50" s="74">
        <f>F50/G4</f>
        <v>152.15200000000002</v>
      </c>
      <c r="F50" s="29">
        <f>F48+F49</f>
        <v>15215.2</v>
      </c>
      <c r="G50" s="63">
        <f t="shared" si="2"/>
        <v>0.10794106446034867</v>
      </c>
      <c r="I50" s="30"/>
      <c r="J50" s="24"/>
      <c r="K50" s="1"/>
      <c r="N50" s="35"/>
      <c r="R50" s="20"/>
    </row>
    <row r="51" spans="2:18" ht="15.45" x14ac:dyDescent="0.4">
      <c r="B51" s="91" t="s">
        <v>117</v>
      </c>
      <c r="C51" s="2"/>
      <c r="D51" s="15"/>
      <c r="F51" s="26"/>
      <c r="G51" s="63"/>
      <c r="J51" s="24" t="s">
        <v>24</v>
      </c>
      <c r="K51" s="2"/>
      <c r="N51" s="104">
        <f>(($F$6+($F$46+$F$50)*0.5))*($C$29/365)+I55</f>
        <v>140144.81540508807</v>
      </c>
      <c r="O51" s="22" t="s">
        <v>115</v>
      </c>
    </row>
    <row r="52" spans="2:18" ht="15.45" x14ac:dyDescent="0.4">
      <c r="B52" s="91" t="s">
        <v>124</v>
      </c>
      <c r="C52" s="103">
        <v>5</v>
      </c>
      <c r="D52" s="140">
        <f>(($E$6+((SUM($D$46+D$50))*0.5)))*(($C$52*0.01)*($C$29/365))+I54</f>
        <v>65.532024029074663</v>
      </c>
      <c r="E52" s="1"/>
      <c r="F52" s="29">
        <f>D52*$G$4</f>
        <v>6553.2024029074664</v>
      </c>
      <c r="G52" s="63">
        <f t="shared" si="2"/>
        <v>4.6490328289733068E-2</v>
      </c>
    </row>
    <row r="53" spans="2:18" ht="15.45" x14ac:dyDescent="0.4">
      <c r="B53" s="3"/>
      <c r="C53" s="2"/>
      <c r="D53" s="45"/>
      <c r="E53" s="5"/>
      <c r="F53" s="26"/>
      <c r="G53" s="63"/>
      <c r="H53" s="22" t="s">
        <v>148</v>
      </c>
      <c r="I53" s="53">
        <f>'3. Bull Cost'!O26</f>
        <v>77.5</v>
      </c>
      <c r="J53" s="1" t="s">
        <v>80</v>
      </c>
      <c r="K53" s="1"/>
      <c r="M53" s="20"/>
      <c r="N53" s="34">
        <f>F52+F66</f>
        <v>11917.399999999994</v>
      </c>
      <c r="O53" s="32">
        <f>N53/N51</f>
        <v>8.5036324501572128E-2</v>
      </c>
      <c r="P53" t="s">
        <v>21</v>
      </c>
    </row>
    <row r="54" spans="2:18" ht="15.45" x14ac:dyDescent="0.4">
      <c r="B54" s="96" t="s">
        <v>159</v>
      </c>
      <c r="C54" s="97">
        <f>G4</f>
        <v>100</v>
      </c>
      <c r="D54" s="98">
        <f>D46+D50+D52</f>
        <v>1409.5840240290747</v>
      </c>
      <c r="E54" s="139"/>
      <c r="F54" s="98">
        <f>F46+F50+F52</f>
        <v>140958.40240290746</v>
      </c>
      <c r="G54" s="63"/>
      <c r="H54" s="55">
        <f>((F54-F6)/(C48*E16))</f>
        <v>2.0896568444603938</v>
      </c>
      <c r="I54" s="55">
        <f>I53/E15</f>
        <v>0.79081632653061229</v>
      </c>
      <c r="J54" s="1" t="s">
        <v>116</v>
      </c>
    </row>
    <row r="55" spans="2:18" ht="15.45" x14ac:dyDescent="0.4">
      <c r="B55" s="2"/>
      <c r="C55" s="42" t="s">
        <v>103</v>
      </c>
      <c r="D55" s="3" t="s">
        <v>75</v>
      </c>
      <c r="I55" s="88">
        <f>'3. Bull Cost'!O28</f>
        <v>10662.4</v>
      </c>
      <c r="J55" s="1" t="s">
        <v>112</v>
      </c>
      <c r="N55" s="34">
        <f>F66</f>
        <v>5364.1975970925268</v>
      </c>
      <c r="O55" t="s">
        <v>76</v>
      </c>
    </row>
    <row r="56" spans="2:18" ht="15.45" x14ac:dyDescent="0.4">
      <c r="B56" s="13" t="s">
        <v>3</v>
      </c>
      <c r="C56" s="8">
        <f>E17</f>
        <v>11.760000000000005</v>
      </c>
      <c r="D56" s="14">
        <f>F56/$C$57</f>
        <v>196.69063079777374</v>
      </c>
      <c r="F56" s="14">
        <f>F11+F19</f>
        <v>16962.600000000006</v>
      </c>
      <c r="G56" s="63"/>
      <c r="N56" s="30">
        <f>F52</f>
        <v>6553.2024029074664</v>
      </c>
      <c r="O56" t="s">
        <v>77</v>
      </c>
    </row>
    <row r="57" spans="2:18" ht="15.45" x14ac:dyDescent="0.4">
      <c r="B57" s="27" t="s">
        <v>11</v>
      </c>
      <c r="C57" s="142">
        <f>E16</f>
        <v>86.24</v>
      </c>
      <c r="D57" s="19">
        <f>F57/$C$57</f>
        <v>1437.799192983621</v>
      </c>
      <c r="E57" s="34"/>
      <c r="F57" s="141">
        <f>F54-F56</f>
        <v>123995.80240290746</v>
      </c>
      <c r="H57" s="55"/>
      <c r="J57" s="1" t="s">
        <v>15</v>
      </c>
      <c r="N57" s="88">
        <f>N55+N56</f>
        <v>11917.399999999994</v>
      </c>
      <c r="O57" s="1" t="s">
        <v>78</v>
      </c>
      <c r="P57" s="1"/>
    </row>
    <row r="58" spans="2:18" ht="15" x14ac:dyDescent="0.35">
      <c r="B58" s="2" t="s">
        <v>102</v>
      </c>
      <c r="C58" s="46">
        <f>C57</f>
        <v>86.24</v>
      </c>
      <c r="D58" s="28">
        <v>0</v>
      </c>
      <c r="F58" s="26">
        <f>C58*D58</f>
        <v>0</v>
      </c>
      <c r="J58" s="1" t="s">
        <v>14</v>
      </c>
    </row>
    <row r="59" spans="2:18" x14ac:dyDescent="0.3">
      <c r="D59" s="30"/>
      <c r="I59" s="23">
        <f>(F66+F52)/N51</f>
        <v>8.5036324501572128E-2</v>
      </c>
      <c r="J59" s="1" t="s">
        <v>13</v>
      </c>
    </row>
    <row r="60" spans="2:18" ht="15.45" x14ac:dyDescent="0.4">
      <c r="B60" s="96" t="s">
        <v>12</v>
      </c>
      <c r="C60" s="117">
        <f>C57</f>
        <v>86.24</v>
      </c>
      <c r="D60" s="94">
        <f>F60/$C$57</f>
        <v>1437.799192983621</v>
      </c>
      <c r="E60" s="99"/>
      <c r="F60" s="98">
        <f>F57+F58</f>
        <v>123995.80240290746</v>
      </c>
      <c r="G60" s="55"/>
      <c r="H60" s="55"/>
      <c r="I60" s="65" t="s">
        <v>104</v>
      </c>
    </row>
    <row r="62" spans="2:18" ht="15.45" x14ac:dyDescent="0.4">
      <c r="B62" s="96" t="s">
        <v>44</v>
      </c>
      <c r="C62" s="106">
        <f>C57</f>
        <v>86.24</v>
      </c>
      <c r="D62" s="94">
        <f>E20</f>
        <v>1500</v>
      </c>
      <c r="E62" s="96"/>
      <c r="F62" s="94">
        <f>F20</f>
        <v>129359.99999999999</v>
      </c>
      <c r="H62" s="34"/>
      <c r="I62" s="34"/>
    </row>
    <row r="63" spans="2:18" ht="15" x14ac:dyDescent="0.35">
      <c r="B63" s="2"/>
      <c r="D63" s="2"/>
      <c r="E63" s="2"/>
      <c r="F63" s="2"/>
    </row>
    <row r="64" spans="2:18" ht="15.45" x14ac:dyDescent="0.4">
      <c r="B64" s="3" t="s">
        <v>127</v>
      </c>
      <c r="C64" s="58"/>
      <c r="D64" s="5">
        <f>F64/$C$57</f>
        <v>62.200807016379024</v>
      </c>
      <c r="E64" s="3"/>
      <c r="F64" s="19">
        <f>F62-F60+F51</f>
        <v>5364.1975970925268</v>
      </c>
      <c r="H64" s="20"/>
    </row>
    <row r="65" spans="2:6" ht="15.45" x14ac:dyDescent="0.4">
      <c r="D65" s="3" t="s">
        <v>74</v>
      </c>
    </row>
    <row r="66" spans="2:6" ht="15.45" x14ac:dyDescent="0.4">
      <c r="B66" s="3" t="s">
        <v>128</v>
      </c>
      <c r="C66" s="42">
        <f>C54</f>
        <v>100</v>
      </c>
      <c r="D66" s="5">
        <f>F64/G4</f>
        <v>53.641975970925266</v>
      </c>
      <c r="E66" s="3"/>
      <c r="F66" s="19">
        <f>F64</f>
        <v>5364.1975970925268</v>
      </c>
    </row>
    <row r="68" spans="2:6" ht="15.45" x14ac:dyDescent="0.4">
      <c r="B68" s="96" t="s">
        <v>129</v>
      </c>
      <c r="C68" s="119"/>
      <c r="D68" s="119"/>
      <c r="E68" s="119"/>
      <c r="F68" s="120">
        <f>I59</f>
        <v>8.5036324501572128E-2</v>
      </c>
    </row>
    <row r="72" spans="2:6" ht="15.45" x14ac:dyDescent="0.4">
      <c r="B72" s="3" t="s">
        <v>167</v>
      </c>
      <c r="C72" s="3" t="s">
        <v>174</v>
      </c>
      <c r="D72" s="3" t="s">
        <v>176</v>
      </c>
    </row>
    <row r="73" spans="2:6" ht="15.45" x14ac:dyDescent="0.4">
      <c r="B73" s="3" t="s">
        <v>175</v>
      </c>
      <c r="C73" s="29">
        <f>(F6/G4)</f>
        <v>850</v>
      </c>
      <c r="D73" s="114">
        <f t="shared" ref="D73:D81" si="4">C73/$C$81</f>
        <v>0.60301477989968166</v>
      </c>
    </row>
    <row r="74" spans="2:6" ht="15" x14ac:dyDescent="0.35">
      <c r="B74" s="2" t="s">
        <v>138</v>
      </c>
      <c r="C74" s="12">
        <f>F38/$C$54</f>
        <v>245.1</v>
      </c>
      <c r="D74" s="144">
        <f t="shared" si="4"/>
        <v>0.17388108535695526</v>
      </c>
    </row>
    <row r="75" spans="2:6" ht="15" x14ac:dyDescent="0.35">
      <c r="B75" s="2" t="s">
        <v>139</v>
      </c>
      <c r="C75" s="12">
        <f>F39/$C$54</f>
        <v>20</v>
      </c>
      <c r="D75" s="144">
        <f t="shared" si="4"/>
        <v>1.4188583056463099E-2</v>
      </c>
    </row>
    <row r="76" spans="2:6" ht="15" x14ac:dyDescent="0.35">
      <c r="B76" s="2" t="s">
        <v>140</v>
      </c>
      <c r="C76" s="12">
        <f>D44+D45</f>
        <v>0</v>
      </c>
      <c r="D76" s="144">
        <f t="shared" si="4"/>
        <v>0</v>
      </c>
    </row>
    <row r="77" spans="2:6" ht="15" x14ac:dyDescent="0.35">
      <c r="B77" s="118" t="s">
        <v>141</v>
      </c>
      <c r="C77" s="12">
        <f>D41+D42+D43</f>
        <v>76.800000000000011</v>
      </c>
      <c r="D77" s="144">
        <f t="shared" si="4"/>
        <v>5.4484158936818308E-2</v>
      </c>
    </row>
    <row r="78" spans="2:6" ht="15.45" x14ac:dyDescent="0.4">
      <c r="B78" s="118" t="s">
        <v>163</v>
      </c>
      <c r="C78" s="29">
        <f>SUM(C73:C77)</f>
        <v>1191.8999999999999</v>
      </c>
      <c r="D78" s="114">
        <f t="shared" si="4"/>
        <v>0.84556860724991822</v>
      </c>
      <c r="F78" s="30"/>
    </row>
    <row r="79" spans="2:6" ht="15" x14ac:dyDescent="0.35">
      <c r="B79" s="118" t="s">
        <v>143</v>
      </c>
      <c r="C79" s="12">
        <f>F50/C54</f>
        <v>152.15200000000002</v>
      </c>
      <c r="D79" s="144">
        <f t="shared" si="4"/>
        <v>0.10794106446034868</v>
      </c>
      <c r="F79" s="30"/>
    </row>
    <row r="80" spans="2:6" ht="15" x14ac:dyDescent="0.35">
      <c r="B80" s="118" t="s">
        <v>142</v>
      </c>
      <c r="C80" s="12">
        <f>F52/C54</f>
        <v>65.532024029074663</v>
      </c>
      <c r="D80" s="144">
        <f t="shared" si="4"/>
        <v>4.6490328289733068E-2</v>
      </c>
    </row>
    <row r="81" spans="2:4" ht="15.45" x14ac:dyDescent="0.4">
      <c r="B81" s="111" t="s">
        <v>182</v>
      </c>
      <c r="C81" s="29">
        <f>SUM(C78:C80)</f>
        <v>1409.5840240290745</v>
      </c>
      <c r="D81" s="63">
        <f t="shared" si="4"/>
        <v>1</v>
      </c>
    </row>
    <row r="82" spans="2:4" x14ac:dyDescent="0.3">
      <c r="B82" s="1"/>
    </row>
    <row r="83" spans="2:4" ht="15" x14ac:dyDescent="0.35">
      <c r="B83" s="2"/>
    </row>
    <row r="84" spans="2:4" ht="15.45" x14ac:dyDescent="0.4">
      <c r="B84" s="111" t="s">
        <v>181</v>
      </c>
      <c r="C84" s="19">
        <f>D57</f>
        <v>1437.799192983621</v>
      </c>
    </row>
  </sheetData>
  <sheetProtection sheet="1" objects="1" scenarios="1"/>
  <mergeCells count="2">
    <mergeCell ref="B1:G1"/>
    <mergeCell ref="C3:F3"/>
  </mergeCells>
  <phoneticPr fontId="5" type="noConversion"/>
  <pageMargins left="1" right="0.5" top="1" bottom="1" header="0.5" footer="0.5"/>
  <pageSetup scale="63" orientation="portrait" horizontalDpi="1200" verticalDpi="1200" r:id="rId1"/>
  <headerFooter alignWithMargins="0">
    <oddFooter>&amp;L&amp;F
&amp;R&amp;A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54"/>
  <sheetViews>
    <sheetView workbookViewId="0">
      <selection activeCell="B2" sqref="B2:D2"/>
    </sheetView>
  </sheetViews>
  <sheetFormatPr defaultRowHeight="12.45" x14ac:dyDescent="0.3"/>
  <cols>
    <col min="2" max="2" width="46.3828125" customWidth="1"/>
    <col min="3" max="3" width="21.3828125" customWidth="1"/>
    <col min="4" max="4" width="15.53515625" customWidth="1"/>
    <col min="6" max="6" width="30.69140625" customWidth="1"/>
    <col min="7" max="7" width="15.07421875" customWidth="1"/>
  </cols>
  <sheetData>
    <row r="1" spans="2:4" ht="17.600000000000001" x14ac:dyDescent="0.4">
      <c r="B1" s="172" t="s">
        <v>130</v>
      </c>
      <c r="C1" s="168"/>
      <c r="D1" s="168"/>
    </row>
    <row r="2" spans="2:4" ht="15.45" x14ac:dyDescent="0.4">
      <c r="B2" s="173" t="str">
        <f>'1.Weaned Calf to Bred Heif Cost'!C3</f>
        <v>Natural service Angus - bred to low birth weight bulls</v>
      </c>
      <c r="C2" s="174"/>
      <c r="D2" s="174"/>
    </row>
    <row r="3" spans="2:4" x14ac:dyDescent="0.3">
      <c r="D3" s="22"/>
    </row>
    <row r="4" spans="2:4" ht="15" x14ac:dyDescent="0.35">
      <c r="B4" s="2" t="s">
        <v>96</v>
      </c>
      <c r="C4" s="115">
        <f>'1.Weaned Calf to Bred Heif Cost'!C4</f>
        <v>43388</v>
      </c>
    </row>
    <row r="5" spans="2:4" ht="15" x14ac:dyDescent="0.35">
      <c r="B5" s="2" t="s">
        <v>131</v>
      </c>
      <c r="C5" s="107">
        <f>'1.Weaned Calf to Bred Heif Cost'!G4</f>
        <v>100</v>
      </c>
    </row>
    <row r="6" spans="2:4" ht="15" x14ac:dyDescent="0.35">
      <c r="B6" s="2" t="s">
        <v>132</v>
      </c>
      <c r="C6" s="107">
        <f>'1.Weaned Calf to Bred Heif Cost'!C6</f>
        <v>500</v>
      </c>
    </row>
    <row r="7" spans="2:4" ht="15" x14ac:dyDescent="0.35">
      <c r="B7" s="2" t="s">
        <v>160</v>
      </c>
      <c r="C7" s="130">
        <f>'1.Weaned Calf to Bred Heif Cost'!I15</f>
        <v>1.2980440612019559</v>
      </c>
    </row>
    <row r="8" spans="2:4" ht="15" x14ac:dyDescent="0.35">
      <c r="B8" s="2" t="s">
        <v>173</v>
      </c>
      <c r="C8" s="115">
        <f>'1.Weaned Calf to Bred Heif Cost'!C9</f>
        <v>43521</v>
      </c>
    </row>
    <row r="9" spans="2:4" ht="15" x14ac:dyDescent="0.35">
      <c r="B9" s="2" t="s">
        <v>97</v>
      </c>
      <c r="C9" s="115">
        <f>'1.Weaned Calf to Bred Heif Cost'!C22</f>
        <v>43592</v>
      </c>
    </row>
    <row r="10" spans="2:4" ht="15.45" x14ac:dyDescent="0.4">
      <c r="B10" s="3" t="s">
        <v>161</v>
      </c>
      <c r="C10" s="135">
        <f>'1.Weaned Calf to Bred Heif Cost'!E15</f>
        <v>98</v>
      </c>
    </row>
    <row r="11" spans="2:4" ht="15" x14ac:dyDescent="0.35">
      <c r="B11" s="2" t="s">
        <v>101</v>
      </c>
      <c r="C11" s="107">
        <f>'1.Weaned Calf to Bred Heif Cost'!C23</f>
        <v>60</v>
      </c>
    </row>
    <row r="12" spans="2:4" ht="15" x14ac:dyDescent="0.35">
      <c r="B12" s="2" t="s">
        <v>2</v>
      </c>
      <c r="C12" s="107">
        <f>'1.Weaned Calf to Bred Heif Cost'!C24</f>
        <v>45</v>
      </c>
    </row>
    <row r="13" spans="2:4" ht="15" x14ac:dyDescent="0.35">
      <c r="B13" s="2" t="s">
        <v>43</v>
      </c>
      <c r="C13" s="115">
        <f>'1.Weaned Calf to Bred Heif Cost'!C17</f>
        <v>43687</v>
      </c>
    </row>
    <row r="14" spans="2:4" ht="15" x14ac:dyDescent="0.35">
      <c r="B14" s="2" t="s">
        <v>133</v>
      </c>
      <c r="C14" s="107">
        <f>C15-C4</f>
        <v>309</v>
      </c>
    </row>
    <row r="15" spans="2:4" ht="15" x14ac:dyDescent="0.35">
      <c r="B15" s="2" t="s">
        <v>85</v>
      </c>
      <c r="C15" s="21">
        <f>C9+C11+C12</f>
        <v>43697</v>
      </c>
    </row>
    <row r="16" spans="2:4" ht="15" x14ac:dyDescent="0.35">
      <c r="B16" s="2" t="s">
        <v>0</v>
      </c>
      <c r="C16" s="9">
        <f>C9+283</f>
        <v>43875</v>
      </c>
    </row>
    <row r="17" spans="2:4" ht="15.45" x14ac:dyDescent="0.4">
      <c r="B17" s="3" t="s">
        <v>184</v>
      </c>
      <c r="C17" s="92">
        <f>'1.Weaned Calf to Bred Heif Cost'!C16*0.01</f>
        <v>0.88</v>
      </c>
      <c r="D17" s="108" t="s">
        <v>134</v>
      </c>
    </row>
    <row r="18" spans="2:4" ht="15.45" x14ac:dyDescent="0.4">
      <c r="B18" s="3" t="s">
        <v>73</v>
      </c>
      <c r="C18" s="108" t="s">
        <v>32</v>
      </c>
      <c r="D18" s="108" t="s">
        <v>1</v>
      </c>
    </row>
    <row r="19" spans="2:4" ht="15" x14ac:dyDescent="0.35">
      <c r="B19" s="2" t="s">
        <v>185</v>
      </c>
      <c r="C19" s="109">
        <f>'1.Weaned Calf to Bred Heif Cost'!E9</f>
        <v>2</v>
      </c>
      <c r="D19" s="14">
        <f>'1.Weaned Calf to Bred Heif Cost'!E11</f>
        <v>1072.5</v>
      </c>
    </row>
    <row r="20" spans="2:4" ht="15.45" x14ac:dyDescent="0.4">
      <c r="B20" s="3" t="s">
        <v>186</v>
      </c>
      <c r="C20" s="146">
        <f>'1.Weaned Calf to Bred Heif Cost'!E17</f>
        <v>11.760000000000005</v>
      </c>
      <c r="D20" s="19">
        <f>'1.Weaned Calf to Bred Heif Cost'!E19</f>
        <v>1260</v>
      </c>
    </row>
    <row r="21" spans="2:4" ht="15" x14ac:dyDescent="0.35">
      <c r="B21" s="2" t="s">
        <v>135</v>
      </c>
      <c r="C21" s="109">
        <f>'1.Weaned Calf to Bred Heif Cost'!E16</f>
        <v>86.24</v>
      </c>
      <c r="D21" s="14">
        <f>'1.Weaned Calf to Bred Heif Cost'!E20</f>
        <v>1500</v>
      </c>
    </row>
    <row r="22" spans="2:4" ht="15" x14ac:dyDescent="0.35">
      <c r="B22" s="2" t="s">
        <v>136</v>
      </c>
      <c r="C22" s="109">
        <f>'1.Weaned Calf to Bred Heif Cost'!C58</f>
        <v>86.24</v>
      </c>
      <c r="D22" s="14">
        <f>'1.Weaned Calf to Bred Heif Cost'!D58</f>
        <v>0</v>
      </c>
    </row>
    <row r="23" spans="2:4" ht="15.45" x14ac:dyDescent="0.4">
      <c r="B23" s="96" t="s">
        <v>137</v>
      </c>
      <c r="C23" s="110">
        <f>'1.Weaned Calf to Bred Heif Cost'!C60</f>
        <v>86.24</v>
      </c>
      <c r="D23" s="94">
        <f>'1.Weaned Calf to Bred Heif Cost'!D60</f>
        <v>1437.799192983621</v>
      </c>
    </row>
    <row r="24" spans="2:4" ht="15.45" x14ac:dyDescent="0.4">
      <c r="B24" s="111" t="s">
        <v>172</v>
      </c>
      <c r="D24" s="19">
        <f>D23-D20</f>
        <v>177.79919298362097</v>
      </c>
    </row>
    <row r="25" spans="2:4" ht="15.45" x14ac:dyDescent="0.4">
      <c r="B25" s="3" t="s">
        <v>187</v>
      </c>
      <c r="C25" s="14"/>
      <c r="D25" s="123"/>
    </row>
    <row r="26" spans="2:4" ht="15.45" x14ac:dyDescent="0.4">
      <c r="B26" s="3" t="s">
        <v>177</v>
      </c>
      <c r="C26" s="19">
        <f>'1.Weaned Calf to Bred Heif Cost'!C73</f>
        <v>850</v>
      </c>
      <c r="D26" s="112">
        <f t="shared" ref="D26:D34" si="0">C26/$C$34</f>
        <v>0.60301477989968166</v>
      </c>
    </row>
    <row r="27" spans="2:4" ht="15" x14ac:dyDescent="0.35">
      <c r="B27" s="2" t="s">
        <v>138</v>
      </c>
      <c r="C27" s="14">
        <f>'1.Weaned Calf to Bred Heif Cost'!C74</f>
        <v>245.1</v>
      </c>
      <c r="D27" s="112">
        <f t="shared" si="0"/>
        <v>0.17388108535695526</v>
      </c>
    </row>
    <row r="28" spans="2:4" ht="15" x14ac:dyDescent="0.35">
      <c r="B28" s="2" t="s">
        <v>139</v>
      </c>
      <c r="C28" s="14">
        <f>'1.Weaned Calf to Bred Heif Cost'!C75</f>
        <v>20</v>
      </c>
      <c r="D28" s="112">
        <f t="shared" si="0"/>
        <v>1.4188583056463099E-2</v>
      </c>
    </row>
    <row r="29" spans="2:4" ht="15.45" x14ac:dyDescent="0.4">
      <c r="B29" s="96" t="s">
        <v>141</v>
      </c>
      <c r="C29" s="94">
        <f>'1.Weaned Calf to Bred Heif Cost'!C77</f>
        <v>76.800000000000011</v>
      </c>
      <c r="D29" s="120">
        <f t="shared" si="0"/>
        <v>5.4484158936818308E-2</v>
      </c>
    </row>
    <row r="30" spans="2:4" ht="15" x14ac:dyDescent="0.35">
      <c r="B30" s="2" t="s">
        <v>140</v>
      </c>
      <c r="C30" s="14">
        <f>'1.Weaned Calf to Bred Heif Cost'!C76</f>
        <v>0</v>
      </c>
      <c r="D30" s="112">
        <f t="shared" si="0"/>
        <v>0</v>
      </c>
    </row>
    <row r="31" spans="2:4" ht="15.45" x14ac:dyDescent="0.4">
      <c r="B31" s="3" t="s">
        <v>164</v>
      </c>
      <c r="C31" s="19">
        <f>SUM(C26:C30)</f>
        <v>1191.8999999999999</v>
      </c>
      <c r="D31" s="133">
        <f t="shared" si="0"/>
        <v>0.84556860724991822</v>
      </c>
    </row>
    <row r="32" spans="2:4" ht="15" x14ac:dyDescent="0.35">
      <c r="B32" s="2" t="s">
        <v>143</v>
      </c>
      <c r="C32" s="14">
        <f>'1.Weaned Calf to Bred Heif Cost'!C79:D79</f>
        <v>152.15200000000002</v>
      </c>
      <c r="D32" s="112">
        <f t="shared" si="0"/>
        <v>0.10794106446034868</v>
      </c>
    </row>
    <row r="33" spans="2:8" ht="15" x14ac:dyDescent="0.35">
      <c r="B33" s="2" t="s">
        <v>142</v>
      </c>
      <c r="C33" s="14">
        <f>'1.Weaned Calf to Bred Heif Cost'!C80</f>
        <v>65.532024029074663</v>
      </c>
      <c r="D33" s="112">
        <f t="shared" si="0"/>
        <v>4.6490328289733068E-2</v>
      </c>
    </row>
    <row r="34" spans="2:8" ht="15.45" x14ac:dyDescent="0.4">
      <c r="B34" s="96" t="s">
        <v>159</v>
      </c>
      <c r="C34" s="94">
        <f>C31+C32+C33</f>
        <v>1409.5840240290745</v>
      </c>
      <c r="D34" s="112">
        <f t="shared" si="0"/>
        <v>1</v>
      </c>
      <c r="F34" s="34"/>
      <c r="G34" s="34"/>
    </row>
    <row r="35" spans="2:8" ht="15" x14ac:dyDescent="0.35">
      <c r="B35" s="112"/>
      <c r="C35" s="112"/>
      <c r="D35" s="112"/>
    </row>
    <row r="36" spans="2:8" ht="15.45" x14ac:dyDescent="0.4">
      <c r="B36" s="96" t="s">
        <v>144</v>
      </c>
      <c r="C36" s="113">
        <f>'1.Weaned Calf to Bred Heif Cost'!H54</f>
        <v>2.0896568444603938</v>
      </c>
    </row>
    <row r="38" spans="2:8" ht="15.45" x14ac:dyDescent="0.4">
      <c r="B38" s="111" t="s">
        <v>147</v>
      </c>
      <c r="C38" s="19">
        <f>'1.Weaned Calf to Bred Heif Cost'!D62</f>
        <v>1500</v>
      </c>
    </row>
    <row r="39" spans="2:8" ht="15.45" x14ac:dyDescent="0.4">
      <c r="B39" s="96" t="s">
        <v>145</v>
      </c>
      <c r="C39" s="143">
        <f>'1.Weaned Calf to Bred Heif Cost'!D64</f>
        <v>62.200807016379024</v>
      </c>
    </row>
    <row r="40" spans="2:8" ht="15.45" x14ac:dyDescent="0.4">
      <c r="B40" s="111" t="s">
        <v>146</v>
      </c>
      <c r="C40" s="114">
        <f>'1.Weaned Calf to Bred Heif Cost'!F68</f>
        <v>8.5036324501572128E-2</v>
      </c>
    </row>
    <row r="41" spans="2:8" ht="15.45" x14ac:dyDescent="0.4">
      <c r="B41" s="111"/>
      <c r="C41" s="114"/>
    </row>
    <row r="42" spans="2:8" ht="15.45" x14ac:dyDescent="0.4">
      <c r="B42" s="111" t="s">
        <v>181</v>
      </c>
      <c r="C42" s="145">
        <f>'1.Weaned Calf to Bred Heif Cost'!C84</f>
        <v>1437.799192983621</v>
      </c>
    </row>
    <row r="43" spans="2:8" x14ac:dyDescent="0.3">
      <c r="B43" s="22" t="s">
        <v>183</v>
      </c>
    </row>
    <row r="47" spans="2:8" ht="15.45" x14ac:dyDescent="0.4">
      <c r="F47" s="3" t="s">
        <v>171</v>
      </c>
      <c r="G47" s="34">
        <f>C26</f>
        <v>850</v>
      </c>
      <c r="H47" s="32">
        <f t="shared" ref="H47:H53" si="1">G47/$G$54</f>
        <v>0.60301477989968166</v>
      </c>
    </row>
    <row r="48" spans="2:8" ht="15" x14ac:dyDescent="0.35">
      <c r="F48" s="2" t="s">
        <v>138</v>
      </c>
      <c r="G48" s="34">
        <f>C27</f>
        <v>245.1</v>
      </c>
      <c r="H48" s="32">
        <f t="shared" si="1"/>
        <v>0.17388108535695526</v>
      </c>
    </row>
    <row r="49" spans="6:8" ht="15" x14ac:dyDescent="0.35">
      <c r="F49" s="2" t="s">
        <v>139</v>
      </c>
      <c r="G49" s="34">
        <f>C28</f>
        <v>20</v>
      </c>
      <c r="H49" s="32">
        <f t="shared" si="1"/>
        <v>1.4188583056463099E-2</v>
      </c>
    </row>
    <row r="50" spans="6:8" ht="15.45" x14ac:dyDescent="0.4">
      <c r="F50" s="96" t="s">
        <v>141</v>
      </c>
      <c r="G50" s="34">
        <f>C29</f>
        <v>76.800000000000011</v>
      </c>
      <c r="H50" s="32">
        <f t="shared" si="1"/>
        <v>5.4484158936818308E-2</v>
      </c>
    </row>
    <row r="51" spans="6:8" ht="15" x14ac:dyDescent="0.35">
      <c r="F51" s="2" t="s">
        <v>140</v>
      </c>
      <c r="G51" s="34">
        <f>C30</f>
        <v>0</v>
      </c>
      <c r="H51" s="32">
        <f t="shared" si="1"/>
        <v>0</v>
      </c>
    </row>
    <row r="52" spans="6:8" ht="15" x14ac:dyDescent="0.35">
      <c r="F52" s="2" t="s">
        <v>143</v>
      </c>
      <c r="G52" s="34">
        <f t="shared" ref="G52:G53" si="2">C32</f>
        <v>152.15200000000002</v>
      </c>
      <c r="H52" s="32">
        <f t="shared" si="1"/>
        <v>0.10794106446034868</v>
      </c>
    </row>
    <row r="53" spans="6:8" ht="15" x14ac:dyDescent="0.35">
      <c r="F53" s="2" t="s">
        <v>142</v>
      </c>
      <c r="G53" s="34">
        <f t="shared" si="2"/>
        <v>65.532024029074663</v>
      </c>
      <c r="H53" s="32">
        <f t="shared" si="1"/>
        <v>4.6490328289733068E-2</v>
      </c>
    </row>
    <row r="54" spans="6:8" x14ac:dyDescent="0.3">
      <c r="G54" s="34">
        <f>SUM(G47:G53)</f>
        <v>1409.5840240290745</v>
      </c>
      <c r="H54" s="33">
        <f>SUM(H47:H53)</f>
        <v>1</v>
      </c>
    </row>
  </sheetData>
  <sheetProtection sheet="1" objects="1" scenarios="1"/>
  <mergeCells count="2">
    <mergeCell ref="B1:D1"/>
    <mergeCell ref="B2:D2"/>
  </mergeCells>
  <pageMargins left="0.95" right="0.45" top="0.75" bottom="0.75" header="0.3" footer="0.3"/>
  <pageSetup scale="77" orientation="portrait" r:id="rId1"/>
  <headerFooter>
    <oddFooter>&amp;L&amp;F&amp;R&amp;A</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42"/>
  <sheetViews>
    <sheetView topLeftCell="A23" zoomScaleNormal="100" workbookViewId="0">
      <selection activeCell="D25" sqref="D25"/>
    </sheetView>
  </sheetViews>
  <sheetFormatPr defaultRowHeight="12.45" x14ac:dyDescent="0.3"/>
  <cols>
    <col min="1" max="1" width="2.84375" customWidth="1"/>
    <col min="2" max="2" width="33.07421875" customWidth="1"/>
    <col min="3" max="3" width="9.15234375" customWidth="1"/>
    <col min="4" max="4" width="11.23046875" customWidth="1"/>
    <col min="5" max="5" width="11" customWidth="1"/>
    <col min="6" max="6" width="12.84375" customWidth="1"/>
    <col min="7" max="7" width="17.765625" customWidth="1"/>
    <col min="8" max="8" width="12.765625" customWidth="1"/>
    <col min="15" max="15" width="10.53515625" bestFit="1" customWidth="1"/>
  </cols>
  <sheetData>
    <row r="1" spans="2:14" ht="17.600000000000001" x14ac:dyDescent="0.4">
      <c r="B1" s="172" t="s">
        <v>71</v>
      </c>
      <c r="C1" s="172"/>
      <c r="D1" s="172"/>
      <c r="E1" s="172"/>
      <c r="F1" s="172"/>
      <c r="G1" s="172"/>
      <c r="H1" s="168"/>
      <c r="I1" s="50"/>
    </row>
    <row r="2" spans="2:14" ht="17.600000000000001" x14ac:dyDescent="0.4">
      <c r="B2" s="148"/>
      <c r="C2" s="148"/>
      <c r="D2" s="148"/>
      <c r="E2" s="148"/>
      <c r="F2" s="148"/>
      <c r="G2" s="148"/>
      <c r="H2" s="147"/>
      <c r="I2" s="147"/>
    </row>
    <row r="3" spans="2:14" ht="17.600000000000001" x14ac:dyDescent="0.4">
      <c r="B3" s="153" t="s">
        <v>203</v>
      </c>
      <c r="C3" s="148"/>
      <c r="D3" s="148"/>
      <c r="E3" s="148"/>
      <c r="G3" s="147" t="s">
        <v>204</v>
      </c>
      <c r="H3" s="147"/>
      <c r="I3" s="147"/>
    </row>
    <row r="4" spans="2:14" ht="15.45" x14ac:dyDescent="0.4">
      <c r="B4" s="147" t="s">
        <v>205</v>
      </c>
      <c r="C4" s="154">
        <f>'1.Weaned Calf to Bred Heif Cost'!G4</f>
        <v>100</v>
      </c>
      <c r="D4" s="167" t="s">
        <v>206</v>
      </c>
      <c r="E4" s="168"/>
      <c r="F4" s="155">
        <v>25</v>
      </c>
      <c r="G4" s="156">
        <v>4</v>
      </c>
      <c r="H4" s="22"/>
      <c r="I4" s="22" t="s">
        <v>207</v>
      </c>
    </row>
    <row r="5" spans="2:14" ht="15.45" x14ac:dyDescent="0.4">
      <c r="B5" s="51"/>
      <c r="C5" s="51"/>
      <c r="D5" s="178" t="s">
        <v>208</v>
      </c>
      <c r="E5" s="179"/>
      <c r="F5" s="157">
        <f>C4/F4</f>
        <v>4</v>
      </c>
      <c r="G5" s="51"/>
      <c r="I5" s="158">
        <f>IF(C4=0,0,C4/G4)</f>
        <v>25</v>
      </c>
      <c r="J5" s="180" t="s">
        <v>209</v>
      </c>
      <c r="K5" s="181"/>
      <c r="L5" s="181"/>
      <c r="M5" s="181"/>
      <c r="N5" s="181"/>
    </row>
    <row r="6" spans="2:14" ht="15.45" x14ac:dyDescent="0.4">
      <c r="B6" s="51"/>
      <c r="C6" s="51"/>
      <c r="D6" s="159"/>
      <c r="E6" s="160"/>
      <c r="F6" s="157"/>
      <c r="G6" s="51"/>
      <c r="I6" s="158"/>
      <c r="J6" s="161"/>
      <c r="K6" s="162"/>
      <c r="L6" s="162"/>
      <c r="M6" s="162"/>
      <c r="N6" s="162"/>
    </row>
    <row r="7" spans="2:14" ht="50.05" customHeight="1" x14ac:dyDescent="0.4">
      <c r="B7" s="3" t="s">
        <v>45</v>
      </c>
      <c r="C7" s="4"/>
      <c r="D7" s="4"/>
      <c r="E7" s="66" t="s">
        <v>200</v>
      </c>
      <c r="F7" s="66" t="s">
        <v>201</v>
      </c>
      <c r="G7" s="66" t="s">
        <v>202</v>
      </c>
    </row>
    <row r="8" spans="2:14" ht="15" x14ac:dyDescent="0.35">
      <c r="B8" s="4" t="s">
        <v>46</v>
      </c>
      <c r="C8" s="4"/>
      <c r="D8" s="4"/>
      <c r="E8" s="67">
        <v>700</v>
      </c>
      <c r="F8" s="68"/>
      <c r="G8" s="69">
        <f>E8/$F$20</f>
        <v>28</v>
      </c>
    </row>
    <row r="9" spans="2:14" ht="15" x14ac:dyDescent="0.35">
      <c r="B9" s="70" t="s">
        <v>47</v>
      </c>
      <c r="C9" s="4"/>
      <c r="D9" s="4"/>
      <c r="E9" s="71">
        <v>0</v>
      </c>
      <c r="F9" s="68"/>
      <c r="G9" s="69">
        <f>E9/$F$20</f>
        <v>0</v>
      </c>
    </row>
    <row r="10" spans="2:14" ht="15" x14ac:dyDescent="0.35">
      <c r="B10" s="4" t="s">
        <v>48</v>
      </c>
      <c r="C10" s="4"/>
      <c r="D10" s="4"/>
      <c r="E10" s="71">
        <v>75</v>
      </c>
      <c r="F10" s="72"/>
      <c r="G10" s="73">
        <f>E10/$F$20</f>
        <v>3</v>
      </c>
      <c r="I10" t="s">
        <v>170</v>
      </c>
    </row>
    <row r="11" spans="2:14" ht="15" x14ac:dyDescent="0.35">
      <c r="B11" s="4" t="s">
        <v>49</v>
      </c>
      <c r="C11" s="4"/>
      <c r="D11" s="4"/>
      <c r="E11" s="31">
        <f>(E8+E9+E10)*0.5*E28*0.01</f>
        <v>19.375</v>
      </c>
      <c r="F11" s="72"/>
      <c r="G11" s="73">
        <f>E11/$F$20</f>
        <v>0.77500000000000002</v>
      </c>
    </row>
    <row r="12" spans="2:14" ht="15.45" x14ac:dyDescent="0.4">
      <c r="B12" s="3" t="s">
        <v>50</v>
      </c>
      <c r="C12" s="4"/>
      <c r="D12" s="4"/>
      <c r="E12" s="29">
        <f>SUM(E8:E11)</f>
        <v>794.375</v>
      </c>
      <c r="F12" s="4"/>
      <c r="G12" s="74">
        <f>E12/$F$20</f>
        <v>31.774999999999999</v>
      </c>
    </row>
    <row r="13" spans="2:14" ht="15.45" x14ac:dyDescent="0.4">
      <c r="B13" s="3"/>
      <c r="C13" s="4"/>
      <c r="D13" s="4"/>
      <c r="E13" s="29"/>
      <c r="F13" s="4"/>
      <c r="G13" s="74"/>
    </row>
    <row r="14" spans="2:14" ht="15.45" x14ac:dyDescent="0.4">
      <c r="B14" s="3" t="s">
        <v>51</v>
      </c>
      <c r="C14" s="4"/>
      <c r="D14" s="4"/>
      <c r="E14" s="4"/>
      <c r="F14" s="4"/>
      <c r="G14" s="4"/>
    </row>
    <row r="15" spans="2:14" ht="15" x14ac:dyDescent="0.35">
      <c r="B15" s="4" t="s">
        <v>52</v>
      </c>
      <c r="C15" s="4"/>
      <c r="D15" s="4"/>
      <c r="E15" s="75">
        <f>(G23-G26)/G24</f>
        <v>640</v>
      </c>
      <c r="F15" s="68"/>
      <c r="G15" s="69">
        <f>E15/$F$20</f>
        <v>25.6</v>
      </c>
    </row>
    <row r="16" spans="2:14" ht="15" x14ac:dyDescent="0.35">
      <c r="B16" s="4" t="s">
        <v>53</v>
      </c>
      <c r="C16" s="4"/>
      <c r="D16" s="4"/>
      <c r="E16" s="45">
        <f>F41*E28*0.01</f>
        <v>0</v>
      </c>
      <c r="F16" s="69"/>
      <c r="G16" s="69">
        <f>E16/$F$20</f>
        <v>0</v>
      </c>
    </row>
    <row r="17" spans="2:15" ht="15" x14ac:dyDescent="0.35">
      <c r="B17" s="2" t="s">
        <v>114</v>
      </c>
      <c r="C17" s="4"/>
      <c r="D17" s="81">
        <v>2</v>
      </c>
      <c r="E17" s="75">
        <f>G23*D17*0.01</f>
        <v>80</v>
      </c>
      <c r="F17" s="68"/>
      <c r="G17" s="69">
        <f>E17/$F$20</f>
        <v>3.2</v>
      </c>
    </row>
    <row r="18" spans="2:15" ht="15.45" x14ac:dyDescent="0.4">
      <c r="B18" s="3" t="s">
        <v>54</v>
      </c>
      <c r="C18" s="4"/>
      <c r="D18" s="4"/>
      <c r="E18" s="29">
        <f>SUM(E15:E17)</f>
        <v>720</v>
      </c>
      <c r="F18" s="68"/>
      <c r="G18" s="69"/>
    </row>
    <row r="19" spans="2:15" ht="15.9" thickBot="1" x14ac:dyDescent="0.45">
      <c r="B19" s="3"/>
      <c r="C19" s="4"/>
      <c r="D19" s="4"/>
      <c r="E19" s="75"/>
      <c r="F19" s="68"/>
      <c r="G19" s="69"/>
    </row>
    <row r="20" spans="2:15" ht="16.3" thickTop="1" thickBot="1" x14ac:dyDescent="0.45">
      <c r="B20" s="24" t="s">
        <v>106</v>
      </c>
      <c r="C20" s="4"/>
      <c r="D20" s="4"/>
      <c r="E20" s="29">
        <f>E12+E18</f>
        <v>1514.375</v>
      </c>
      <c r="F20" s="163">
        <f>F4</f>
        <v>25</v>
      </c>
      <c r="G20" s="77">
        <f>E20/F20</f>
        <v>60.575000000000003</v>
      </c>
      <c r="J20" s="55">
        <f>E20-E11-E15-E16</f>
        <v>855</v>
      </c>
      <c r="K20" t="s">
        <v>55</v>
      </c>
    </row>
    <row r="21" spans="2:15" ht="15.9" thickTop="1" x14ac:dyDescent="0.4">
      <c r="B21" s="3" t="s">
        <v>81</v>
      </c>
      <c r="C21" s="4"/>
      <c r="D21" s="4"/>
      <c r="E21" s="29"/>
      <c r="F21" s="76"/>
      <c r="G21" s="78">
        <f>J27</f>
        <v>59.800000000000004</v>
      </c>
      <c r="J21" s="84" t="s">
        <v>165</v>
      </c>
    </row>
    <row r="22" spans="2:15" ht="15" x14ac:dyDescent="0.35">
      <c r="B22" s="4"/>
      <c r="C22" s="4"/>
      <c r="D22" s="4"/>
      <c r="E22" s="4"/>
      <c r="F22" s="4"/>
      <c r="G22" s="4"/>
      <c r="J22" s="55"/>
    </row>
    <row r="23" spans="2:15" ht="15.45" x14ac:dyDescent="0.4">
      <c r="B23" s="3" t="s">
        <v>56</v>
      </c>
      <c r="C23" s="4"/>
      <c r="D23" s="4"/>
      <c r="E23" s="4"/>
      <c r="F23" s="4"/>
      <c r="G23" s="79">
        <v>4000</v>
      </c>
      <c r="J23" s="30"/>
      <c r="O23" s="22" t="s">
        <v>111</v>
      </c>
    </row>
    <row r="24" spans="2:15" ht="15" x14ac:dyDescent="0.35">
      <c r="B24" s="4" t="s">
        <v>57</v>
      </c>
      <c r="C24" s="4"/>
      <c r="D24" s="4"/>
      <c r="E24" s="4"/>
      <c r="F24" s="4"/>
      <c r="G24" s="90">
        <v>4</v>
      </c>
      <c r="J24" s="87" t="s">
        <v>113</v>
      </c>
      <c r="N24" s="22" t="s">
        <v>125</v>
      </c>
      <c r="O24" t="s">
        <v>110</v>
      </c>
    </row>
    <row r="25" spans="2:15" ht="15" x14ac:dyDescent="0.35">
      <c r="B25" s="4"/>
      <c r="C25" s="4"/>
      <c r="D25" s="4"/>
      <c r="E25" s="80" t="s">
        <v>58</v>
      </c>
      <c r="F25" s="80" t="s">
        <v>59</v>
      </c>
      <c r="G25" s="80" t="s">
        <v>60</v>
      </c>
      <c r="I25" s="34"/>
      <c r="J25" s="86" t="s">
        <v>110</v>
      </c>
      <c r="N25" s="22" t="s">
        <v>126</v>
      </c>
      <c r="O25" s="85">
        <f>'1.Weaned Calf to Bred Heif Cost'!E15</f>
        <v>98</v>
      </c>
    </row>
    <row r="26" spans="2:15" ht="15" x14ac:dyDescent="0.35">
      <c r="B26" s="4" t="s">
        <v>61</v>
      </c>
      <c r="C26" s="4"/>
      <c r="D26" s="4"/>
      <c r="E26" s="81">
        <v>1800</v>
      </c>
      <c r="F26" s="89">
        <v>80</v>
      </c>
      <c r="G26" s="45">
        <f>E26*F26*0.01</f>
        <v>1440</v>
      </c>
      <c r="J26" s="53">
        <f>H33</f>
        <v>0.77500000000000002</v>
      </c>
      <c r="K26" s="84" t="s">
        <v>108</v>
      </c>
      <c r="O26" s="52">
        <f>G33</f>
        <v>77.5</v>
      </c>
    </row>
    <row r="27" spans="2:15" ht="15" x14ac:dyDescent="0.35">
      <c r="B27" s="4"/>
      <c r="C27" s="4"/>
      <c r="D27" s="4"/>
      <c r="E27" s="4"/>
      <c r="F27" s="4"/>
      <c r="G27" s="4"/>
      <c r="J27" s="55">
        <f>G20-J26</f>
        <v>59.800000000000004</v>
      </c>
      <c r="K27" s="84"/>
      <c r="M27" s="22" t="s">
        <v>32</v>
      </c>
      <c r="N27" s="105">
        <f>G4</f>
        <v>4</v>
      </c>
      <c r="O27" s="30"/>
    </row>
    <row r="28" spans="2:15" ht="15" x14ac:dyDescent="0.35">
      <c r="B28" s="4" t="s">
        <v>62</v>
      </c>
      <c r="C28" s="4"/>
      <c r="D28" s="4"/>
      <c r="E28" s="82">
        <f>'1.Weaned Calf to Bred Heif Cost'!C52</f>
        <v>5</v>
      </c>
      <c r="F28" s="4" t="s">
        <v>8</v>
      </c>
      <c r="G28" s="4"/>
      <c r="J28" s="58">
        <f>H36</f>
        <v>108.8</v>
      </c>
      <c r="K28" s="54" t="s">
        <v>109</v>
      </c>
      <c r="O28" s="88">
        <f>J28*O25</f>
        <v>10662.4</v>
      </c>
    </row>
    <row r="29" spans="2:15" ht="15.45" x14ac:dyDescent="0.4">
      <c r="B29" s="3" t="s">
        <v>82</v>
      </c>
      <c r="C29" s="4"/>
      <c r="D29" s="4"/>
      <c r="E29" s="4"/>
      <c r="F29" s="4"/>
      <c r="G29" s="4"/>
    </row>
    <row r="31" spans="2:15" ht="15.45" x14ac:dyDescent="0.4">
      <c r="B31" s="2"/>
      <c r="C31" s="3" t="s">
        <v>188</v>
      </c>
      <c r="D31" s="3"/>
      <c r="E31" s="149" t="s">
        <v>189</v>
      </c>
      <c r="F31" s="3"/>
      <c r="G31" s="3" t="s">
        <v>190</v>
      </c>
      <c r="H31" s="24" t="s">
        <v>191</v>
      </c>
    </row>
    <row r="32" spans="2:15" ht="15.45" x14ac:dyDescent="0.4">
      <c r="B32" s="24" t="s">
        <v>192</v>
      </c>
      <c r="C32" s="146">
        <f>G4</f>
        <v>4</v>
      </c>
      <c r="D32" s="65" t="s">
        <v>193</v>
      </c>
      <c r="E32" s="150">
        <f>E20-E11-E16</f>
        <v>1495</v>
      </c>
      <c r="F32" s="2"/>
      <c r="G32" s="26">
        <f>$C$32*$E32</f>
        <v>5980</v>
      </c>
      <c r="H32" s="12">
        <f>G32/$C$4</f>
        <v>59.8</v>
      </c>
    </row>
    <row r="33" spans="2:8" ht="15.45" x14ac:dyDescent="0.4">
      <c r="B33" s="3"/>
      <c r="C33" s="146"/>
      <c r="D33" s="65" t="s">
        <v>194</v>
      </c>
      <c r="E33" s="150">
        <f>E11+E16</f>
        <v>19.375</v>
      </c>
      <c r="F33" s="2"/>
      <c r="G33" s="26">
        <f t="shared" ref="G33:G34" si="0">$C$32*$E33</f>
        <v>77.5</v>
      </c>
      <c r="H33" s="12">
        <f t="shared" ref="H33:H34" si="1">G33/$C$4</f>
        <v>0.77500000000000002</v>
      </c>
    </row>
    <row r="34" spans="2:8" ht="15.45" x14ac:dyDescent="0.4">
      <c r="B34" s="3"/>
      <c r="C34" s="2"/>
      <c r="D34" s="3" t="s">
        <v>195</v>
      </c>
      <c r="E34" s="29">
        <f>E32+E33</f>
        <v>1514.375</v>
      </c>
      <c r="F34" s="2"/>
      <c r="G34" s="29">
        <f t="shared" si="0"/>
        <v>6057.5</v>
      </c>
      <c r="H34" s="74">
        <f t="shared" si="1"/>
        <v>60.575000000000003</v>
      </c>
    </row>
    <row r="35" spans="2:8" ht="15.45" x14ac:dyDescent="0.4">
      <c r="B35" s="3" t="s">
        <v>196</v>
      </c>
      <c r="C35" s="42">
        <f>'1.Weaned Calf to Bred Heif Cost'!G4</f>
        <v>100</v>
      </c>
      <c r="D35" s="65"/>
      <c r="E35" s="2"/>
      <c r="F35" s="2" t="s">
        <v>197</v>
      </c>
      <c r="G35" s="2" t="s">
        <v>198</v>
      </c>
    </row>
    <row r="36" spans="2:8" ht="15.45" x14ac:dyDescent="0.4">
      <c r="B36" s="24" t="s">
        <v>199</v>
      </c>
      <c r="C36" s="152">
        <f>C32</f>
        <v>4</v>
      </c>
      <c r="D36" s="24" t="s">
        <v>32</v>
      </c>
      <c r="E36" s="3" t="s">
        <v>195</v>
      </c>
      <c r="F36" s="19">
        <f>G23</f>
        <v>4000</v>
      </c>
      <c r="G36" s="19">
        <f>F38*C32</f>
        <v>10880</v>
      </c>
      <c r="H36" s="164">
        <f>G36/$C$35</f>
        <v>108.8</v>
      </c>
    </row>
    <row r="37" spans="2:8" ht="15.45" x14ac:dyDescent="0.4">
      <c r="B37" s="3" t="s">
        <v>82</v>
      </c>
      <c r="C37" s="24"/>
      <c r="E37" s="2"/>
      <c r="F37" s="19"/>
      <c r="G37" s="109"/>
    </row>
    <row r="38" spans="2:8" ht="15.45" x14ac:dyDescent="0.4">
      <c r="B38" s="65" t="s">
        <v>63</v>
      </c>
      <c r="C38" s="2"/>
      <c r="D38" s="2"/>
      <c r="F38" s="19">
        <f>(G23+G26)/2</f>
        <v>2720</v>
      </c>
      <c r="G38" s="2" t="s">
        <v>189</v>
      </c>
      <c r="H38" s="151"/>
    </row>
    <row r="39" spans="2:8" ht="15" x14ac:dyDescent="0.35">
      <c r="B39" s="2"/>
      <c r="C39" s="2"/>
      <c r="D39" s="2"/>
      <c r="E39" s="2"/>
      <c r="F39" s="2"/>
      <c r="G39" s="14"/>
      <c r="H39" s="20"/>
    </row>
    <row r="40" spans="2:8" ht="15" x14ac:dyDescent="0.35">
      <c r="B40" s="2" t="s">
        <v>64</v>
      </c>
      <c r="C40" s="175" t="s">
        <v>65</v>
      </c>
      <c r="D40" s="176"/>
      <c r="E40" s="176"/>
      <c r="F40" s="176"/>
      <c r="G40" s="176"/>
      <c r="H40" s="177"/>
    </row>
    <row r="41" spans="2:8" ht="15" x14ac:dyDescent="0.35">
      <c r="B41" s="65"/>
      <c r="C41" s="4"/>
      <c r="D41" s="4"/>
      <c r="F41" s="45"/>
      <c r="G41" s="4"/>
    </row>
    <row r="42" spans="2:8" ht="15" x14ac:dyDescent="0.35">
      <c r="B42" s="4"/>
      <c r="C42" s="4"/>
      <c r="D42" s="4"/>
      <c r="E42" s="4"/>
      <c r="F42" s="4"/>
      <c r="G42" s="45"/>
      <c r="H42" s="20"/>
    </row>
  </sheetData>
  <sheetProtection sheet="1" objects="1" scenarios="1"/>
  <mergeCells count="5">
    <mergeCell ref="C40:H40"/>
    <mergeCell ref="D4:E4"/>
    <mergeCell ref="D5:E5"/>
    <mergeCell ref="J5:N5"/>
    <mergeCell ref="B1:H1"/>
  </mergeCells>
  <phoneticPr fontId="5" type="noConversion"/>
  <pageMargins left="1" right="0.5" top="1" bottom="1" header="0.5" footer="0.5"/>
  <pageSetup scale="84" orientation="portrait" r:id="rId1"/>
  <headerFooter alignWithMargins="0">
    <oddFooter>&amp;L&amp;F&amp;R&amp;A</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13"/>
  <sheetViews>
    <sheetView topLeftCell="A11" workbookViewId="0">
      <selection activeCell="D12" sqref="D12"/>
    </sheetView>
  </sheetViews>
  <sheetFormatPr defaultRowHeight="12.45" x14ac:dyDescent="0.3"/>
  <cols>
    <col min="2" max="2" width="89.3828125" customWidth="1"/>
  </cols>
  <sheetData>
    <row r="1" spans="2:2" ht="15.45" x14ac:dyDescent="0.4">
      <c r="B1" s="124" t="s">
        <v>152</v>
      </c>
    </row>
    <row r="3" spans="2:2" ht="50.05" customHeight="1" x14ac:dyDescent="0.3">
      <c r="B3" s="125" t="s">
        <v>153</v>
      </c>
    </row>
    <row r="5" spans="2:2" ht="90" customHeight="1" x14ac:dyDescent="0.3">
      <c r="B5" s="125" t="s">
        <v>154</v>
      </c>
    </row>
    <row r="7" spans="2:2" ht="100" customHeight="1" x14ac:dyDescent="0.3">
      <c r="B7" s="126" t="s">
        <v>155</v>
      </c>
    </row>
    <row r="8" spans="2:2" ht="30" customHeight="1" x14ac:dyDescent="0.3">
      <c r="B8" s="125" t="s">
        <v>156</v>
      </c>
    </row>
    <row r="9" spans="2:2" ht="14.15" x14ac:dyDescent="0.3">
      <c r="B9" s="127"/>
    </row>
    <row r="10" spans="2:2" ht="25" customHeight="1" x14ac:dyDescent="0.3">
      <c r="B10" s="128" t="s">
        <v>157</v>
      </c>
    </row>
    <row r="12" spans="2:2" ht="110.05" customHeight="1" x14ac:dyDescent="0.3">
      <c r="B12" s="129" t="s">
        <v>158</v>
      </c>
    </row>
    <row r="13" spans="2:2" ht="75" customHeight="1" x14ac:dyDescent="0.3">
      <c r="B13" s="165" t="s">
        <v>210</v>
      </c>
    </row>
  </sheetData>
  <pageMargins left="0.7" right="0.7" top="0.75" bottom="0.75" header="0.3" footer="0.3"/>
  <pageSetup orientation="portrait"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1.Weaned Calf to Bred Heif Cost</vt:lpstr>
      <vt:lpstr>2. Summary Report</vt:lpstr>
      <vt:lpstr>3. Bull Cost</vt:lpstr>
      <vt:lpstr>4. Cost Definitions</vt:lpstr>
      <vt:lpstr>'1.Weaned Calf to Bred Heif Cost'!Print_Area</vt:lpstr>
      <vt:lpstr>'2. Summary Report'!Print_Area</vt:lpstr>
      <vt:lpstr>'3. Bull Cost'!Print_Area</vt:lpstr>
      <vt:lpstr>'4. Cost Definitions'!Print_Area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McGrann</dc:creator>
  <cp:lastModifiedBy>Jim McGrann</cp:lastModifiedBy>
  <cp:lastPrinted>2018-10-10T19:51:18Z</cp:lastPrinted>
  <dcterms:created xsi:type="dcterms:W3CDTF">2004-03-18T15:16:20Z</dcterms:created>
  <dcterms:modified xsi:type="dcterms:W3CDTF">2018-10-10T19:51:21Z</dcterms:modified>
</cp:coreProperties>
</file>