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Documents\2017 Decision Aids Floders\2017 Grassfed Beef\M Grassfed Beef 3-7-2017\"/>
    </mc:Choice>
  </mc:AlternateContent>
  <bookViews>
    <workbookView xWindow="0" yWindow="0" windowWidth="16000" windowHeight="5270" tabRatio="902" activeTab="2"/>
  </bookViews>
  <sheets>
    <sheet name="1. Grassfed Financial Data " sheetId="2" r:id="rId1"/>
    <sheet name="2. Grassfed CloseOut" sheetId="1" r:id="rId2"/>
    <sheet name="3. Grassfed Closeout Summary" sheetId="5" r:id="rId3"/>
  </sheets>
  <definedNames>
    <definedName name="_xlnm.Print_Area" localSheetId="0">'1. Grassfed Financial Data '!$B$1:$G$46</definedName>
    <definedName name="_xlnm.Print_Area" localSheetId="1">'2. Grassfed CloseOut'!$B$1:$G$127</definedName>
    <definedName name="_xlnm.Print_Area" localSheetId="2">'3. Grassfed Closeout Summary'!$B$1:$E$46</definedName>
  </definedNames>
  <calcPr calcId="171027"/>
</workbook>
</file>

<file path=xl/calcChain.xml><?xml version="1.0" encoding="utf-8"?>
<calcChain xmlns="http://schemas.openxmlformats.org/spreadsheetml/2006/main">
  <c r="E21" i="1" l="1"/>
  <c r="E5" i="2" l="1"/>
  <c r="C5" i="1" s="1"/>
  <c r="D27" i="5" l="1"/>
  <c r="C26" i="1"/>
  <c r="C4" i="5"/>
  <c r="B51" i="1"/>
  <c r="B7" i="5" l="1"/>
  <c r="E39" i="2" l="1"/>
  <c r="E37" i="2"/>
  <c r="F37" i="2" s="1"/>
  <c r="E34" i="2"/>
  <c r="F51" i="1" s="1"/>
  <c r="E33" i="2"/>
  <c r="F50" i="1" s="1"/>
  <c r="E32" i="2"/>
  <c r="E31" i="2"/>
  <c r="E30" i="2"/>
  <c r="F47" i="1" s="1"/>
  <c r="E29" i="2"/>
  <c r="F46" i="1" s="1"/>
  <c r="E28" i="2"/>
  <c r="F45" i="1" s="1"/>
  <c r="E27" i="2"/>
  <c r="F44" i="1" s="1"/>
  <c r="E26" i="2"/>
  <c r="F43" i="1" s="1"/>
  <c r="E25" i="2"/>
  <c r="F42" i="1" s="1"/>
  <c r="E23" i="2"/>
  <c r="F40" i="1" s="1"/>
  <c r="E22" i="2"/>
  <c r="F39" i="1" s="1"/>
  <c r="E21" i="2"/>
  <c r="E20" i="2"/>
  <c r="F37" i="1" s="1"/>
  <c r="E19" i="2"/>
  <c r="F36" i="1" s="1"/>
  <c r="E18" i="2"/>
  <c r="F35" i="1" s="1"/>
  <c r="C35" i="2"/>
  <c r="C40" i="2" s="1"/>
  <c r="C24" i="2"/>
  <c r="F49" i="1"/>
  <c r="F48" i="1"/>
  <c r="B50" i="1"/>
  <c r="B49" i="1"/>
  <c r="B48" i="1"/>
  <c r="B47" i="1"/>
  <c r="B46" i="1"/>
  <c r="B45" i="1"/>
  <c r="B44" i="1"/>
  <c r="B43" i="1"/>
  <c r="F38" i="1"/>
  <c r="B42" i="1"/>
  <c r="B41" i="1"/>
  <c r="B40" i="1"/>
  <c r="B39" i="1"/>
  <c r="B38" i="1"/>
  <c r="B37" i="1"/>
  <c r="B36" i="1"/>
  <c r="B35" i="1"/>
  <c r="B33" i="1"/>
  <c r="B32" i="1"/>
  <c r="B30" i="1"/>
  <c r="E11" i="2"/>
  <c r="E35" i="2" l="1"/>
  <c r="F11" i="2"/>
  <c r="E40" i="2" l="1"/>
  <c r="C4" i="1"/>
  <c r="E16" i="2" l="1"/>
  <c r="D17" i="1"/>
  <c r="D17" i="5" s="1"/>
  <c r="E12" i="1"/>
  <c r="J12" i="2"/>
  <c r="J11" i="2"/>
  <c r="C5" i="5"/>
  <c r="C6" i="5"/>
  <c r="C7" i="5"/>
  <c r="C9" i="5"/>
  <c r="D9" i="5"/>
  <c r="C10" i="5"/>
  <c r="D14" i="5"/>
  <c r="D8" i="5"/>
  <c r="D20" i="5"/>
  <c r="D21" i="5"/>
  <c r="C3" i="1"/>
  <c r="C2" i="5" s="1"/>
  <c r="C3" i="5"/>
  <c r="C8" i="1"/>
  <c r="C8" i="5" s="1"/>
  <c r="C10" i="1"/>
  <c r="E35" i="1" s="1"/>
  <c r="F12" i="1"/>
  <c r="C19" i="1"/>
  <c r="D18" i="5" s="1"/>
  <c r="E22" i="1"/>
  <c r="D22" i="5" s="1"/>
  <c r="F27" i="1"/>
  <c r="D27" i="1" s="1"/>
  <c r="D29" i="5" s="1"/>
  <c r="F30" i="1"/>
  <c r="F31" i="1"/>
  <c r="F32" i="1"/>
  <c r="G32" i="1" s="1"/>
  <c r="G36" i="1"/>
  <c r="F55" i="1"/>
  <c r="F60" i="1"/>
  <c r="D60" i="1" s="1"/>
  <c r="E24" i="2"/>
  <c r="I40" i="2"/>
  <c r="E42" i="1" l="1"/>
  <c r="E36" i="2"/>
  <c r="E42" i="2"/>
  <c r="D55" i="1"/>
  <c r="F24" i="2"/>
  <c r="F41" i="1"/>
  <c r="E41" i="1" s="1"/>
  <c r="E50" i="1"/>
  <c r="F33" i="1"/>
  <c r="E46" i="1"/>
  <c r="E60" i="1"/>
  <c r="L93" i="1" s="1"/>
  <c r="G50" i="1"/>
  <c r="E49" i="1"/>
  <c r="E45" i="1"/>
  <c r="E40" i="1"/>
  <c r="E36" i="1"/>
  <c r="E47" i="1"/>
  <c r="E43" i="1"/>
  <c r="E39" i="1"/>
  <c r="G37" i="1"/>
  <c r="E37" i="1"/>
  <c r="G48" i="1"/>
  <c r="E48" i="1"/>
  <c r="G44" i="1"/>
  <c r="E44" i="1"/>
  <c r="G51" i="1"/>
  <c r="E51" i="1"/>
  <c r="G35" i="1"/>
  <c r="G47" i="1"/>
  <c r="G38" i="1"/>
  <c r="E38" i="1"/>
  <c r="D14" i="1"/>
  <c r="D15" i="5" s="1"/>
  <c r="D30" i="1"/>
  <c r="H31" i="1"/>
  <c r="D19" i="1"/>
  <c r="D19" i="5" s="1"/>
  <c r="E55" i="1"/>
  <c r="D11" i="5"/>
  <c r="D11" i="1"/>
  <c r="I48" i="1"/>
  <c r="F84" i="1"/>
  <c r="G31" i="1"/>
  <c r="G45" i="1"/>
  <c r="D31" i="1"/>
  <c r="E27" i="1"/>
  <c r="H39" i="1"/>
  <c r="C76" i="1" s="1"/>
  <c r="L82" i="1"/>
  <c r="G49" i="1"/>
  <c r="F52" i="1" l="1"/>
  <c r="F58" i="1" s="1"/>
  <c r="D32" i="1"/>
  <c r="E32" i="1" s="1"/>
  <c r="F10" i="1"/>
  <c r="F16" i="2"/>
  <c r="D15" i="1"/>
  <c r="D16" i="5" s="1"/>
  <c r="E23" i="1"/>
  <c r="E81" i="1" s="1"/>
  <c r="D38" i="5" s="1"/>
  <c r="H14" i="2"/>
  <c r="J14" i="2" s="1"/>
  <c r="J15" i="2" s="1"/>
  <c r="H15" i="2" s="1"/>
  <c r="D13" i="5"/>
  <c r="E30" i="1"/>
  <c r="E31" i="1"/>
  <c r="E29" i="5"/>
  <c r="J90" i="1"/>
  <c r="I51" i="1"/>
  <c r="C74" i="1"/>
  <c r="L81" i="1"/>
  <c r="K90" i="1"/>
  <c r="J93" i="1" s="1"/>
  <c r="E33" i="1" l="1"/>
  <c r="D33" i="1"/>
  <c r="D28" i="5" s="1"/>
  <c r="E28" i="5" s="1"/>
  <c r="C23" i="1"/>
  <c r="D24" i="5" s="1"/>
  <c r="L83" i="1"/>
  <c r="E24" i="1"/>
  <c r="C24" i="1"/>
  <c r="D25" i="5" s="1"/>
  <c r="F53" i="1"/>
  <c r="L84" i="1" s="1"/>
  <c r="C84" i="1" l="1"/>
  <c r="D31" i="5" s="1"/>
  <c r="L77" i="1"/>
  <c r="F70" i="1" s="1"/>
  <c r="D42" i="5" s="1"/>
  <c r="J101" i="1" s="1"/>
  <c r="E84" i="1"/>
  <c r="D23" i="5"/>
  <c r="E76" i="1"/>
  <c r="D33" i="5" s="1"/>
  <c r="D58" i="1"/>
  <c r="E58" i="1"/>
  <c r="K93" i="1" s="1"/>
  <c r="F62" i="1"/>
  <c r="G55" i="1" s="1"/>
  <c r="I50" i="1"/>
  <c r="I54" i="1" s="1"/>
  <c r="L78" i="1"/>
  <c r="G40" i="1" l="1"/>
  <c r="G41" i="1"/>
  <c r="G42" i="1"/>
  <c r="G43" i="1"/>
  <c r="G60" i="1"/>
  <c r="G30" i="1"/>
  <c r="E62" i="1"/>
  <c r="E40" i="5" s="1"/>
  <c r="F64" i="1"/>
  <c r="G46" i="1"/>
  <c r="C77" i="1"/>
  <c r="G39" i="1"/>
  <c r="D62" i="1"/>
  <c r="D40" i="5" s="1"/>
  <c r="G62" i="1"/>
  <c r="G33" i="1"/>
  <c r="G52" i="1"/>
  <c r="G58" i="1"/>
  <c r="D66" i="1"/>
  <c r="H43" i="2"/>
  <c r="H44" i="2" s="1"/>
  <c r="F71" i="1"/>
  <c r="D43" i="5" s="1"/>
  <c r="K101" i="1" s="1"/>
  <c r="L79" i="1"/>
  <c r="G53" i="1"/>
  <c r="E77" i="1" l="1"/>
  <c r="D35" i="5" s="1"/>
  <c r="C78" i="1"/>
  <c r="M90" i="1"/>
  <c r="F72" i="1"/>
  <c r="D44" i="5" s="1"/>
  <c r="L101" i="1" s="1"/>
  <c r="E64" i="1"/>
  <c r="M93" i="1" s="1"/>
  <c r="F66" i="1"/>
  <c r="D46" i="5" s="1"/>
  <c r="D64" i="1"/>
  <c r="L90" i="1" l="1"/>
  <c r="E78" i="1"/>
  <c r="D36" i="5" s="1"/>
  <c r="D34" i="5" s="1"/>
  <c r="C79" i="1"/>
  <c r="D76" i="1" l="1"/>
  <c r="D74" i="1"/>
  <c r="D77" i="1"/>
  <c r="D78" i="1"/>
</calcChain>
</file>

<file path=xl/sharedStrings.xml><?xml version="1.0" encoding="utf-8"?>
<sst xmlns="http://schemas.openxmlformats.org/spreadsheetml/2006/main" count="264" uniqueCount="198">
  <si>
    <t>Date of Analysis</t>
  </si>
  <si>
    <t>$/Head</t>
  </si>
  <si>
    <t>$/Cwt.</t>
  </si>
  <si>
    <t>%</t>
  </si>
  <si>
    <t>Lb./Head</t>
  </si>
  <si>
    <t>Gross &amp; $/Cwt.</t>
  </si>
  <si>
    <t>Total</t>
  </si>
  <si>
    <t>Feed and Other</t>
  </si>
  <si>
    <t>Cattle</t>
  </si>
  <si>
    <t>Marketing Margin</t>
  </si>
  <si>
    <t>Net Margin</t>
  </si>
  <si>
    <t>Feeding Margin</t>
  </si>
  <si>
    <t xml:space="preserve">Total Purchase </t>
  </si>
  <si>
    <t>Total Sales Based on Head Outs</t>
  </si>
  <si>
    <t>Total Gain Based on Head Outs</t>
  </si>
  <si>
    <t>Breed</t>
  </si>
  <si>
    <t>Sex</t>
  </si>
  <si>
    <t>Cash Interest Cost</t>
  </si>
  <si>
    <t>Date Marketed</t>
  </si>
  <si>
    <t>Buyer</t>
  </si>
  <si>
    <t>Death &amp; Culling Loss</t>
  </si>
  <si>
    <t>Net Payweight In</t>
  </si>
  <si>
    <t>Net Margin Based on Number of Head Out</t>
  </si>
  <si>
    <t>Shrink % on Sales</t>
  </si>
  <si>
    <t>Total Grazing and Feed Cost</t>
  </si>
  <si>
    <t>$/Lb. Gain</t>
  </si>
  <si>
    <t>Price Roll Back</t>
  </si>
  <si>
    <t>Total Cost of Gain  - per Head and lb. of Gain</t>
  </si>
  <si>
    <t>Head</t>
  </si>
  <si>
    <t>Days Grazed and Fed</t>
  </si>
  <si>
    <t>Days</t>
  </si>
  <si>
    <t xml:space="preserve">Percent Death &amp; Culling Loss </t>
  </si>
  <si>
    <t>Total Production Cost</t>
  </si>
  <si>
    <r>
      <t xml:space="preserve">Head Marketed </t>
    </r>
    <r>
      <rPr>
        <sz val="10"/>
        <rFont val="Arial"/>
        <family val="2"/>
      </rPr>
      <t>(including culls)</t>
    </r>
  </si>
  <si>
    <t>$/Lb.</t>
  </si>
  <si>
    <t>Net Average Daily Gain</t>
  </si>
  <si>
    <t>Net Payweight  Per Head</t>
  </si>
  <si>
    <t>Lb./Hd</t>
  </si>
  <si>
    <t>Net Payweight In per Head</t>
  </si>
  <si>
    <t>Days/Head</t>
  </si>
  <si>
    <t>Prior Management</t>
  </si>
  <si>
    <t>Sales Revenue</t>
  </si>
  <si>
    <t>Net Gain Per Head Out</t>
  </si>
  <si>
    <t>Finance Cost : Cash Interest Cost</t>
  </si>
  <si>
    <t>Operating Cost</t>
  </si>
  <si>
    <t>Price Roll Back per Cwt.</t>
  </si>
  <si>
    <t>Per Cwt.</t>
  </si>
  <si>
    <t>Net Payweight Revenue - Head Out</t>
  </si>
  <si>
    <t>Per Head Cattle Cost - Head Out</t>
  </si>
  <si>
    <t>Total Non-Feed Cost Including Interest</t>
  </si>
  <si>
    <t>Price Out</t>
  </si>
  <si>
    <t>Cost In</t>
  </si>
  <si>
    <t>$/Head Out</t>
  </si>
  <si>
    <t>Days Grazed and Fed - Head Out</t>
  </si>
  <si>
    <t xml:space="preserve">Return on Operating Assets - ROA  </t>
  </si>
  <si>
    <t>Acres Grazed</t>
  </si>
  <si>
    <t>Acres/Head</t>
  </si>
  <si>
    <t>Lb./Acre</t>
  </si>
  <si>
    <t>Acres</t>
  </si>
  <si>
    <t>Grazing Acres per Head - Stocking Rate</t>
  </si>
  <si>
    <t>Net Gain Per Acre Grazed</t>
  </si>
  <si>
    <t xml:space="preserve">   Feed and Grazing Cost of Net Gain </t>
  </si>
  <si>
    <t>Grazing Acre - Stocking Rate</t>
  </si>
  <si>
    <t>Pounds per Acre - Stocking Rate</t>
  </si>
  <si>
    <t>Lb./Day</t>
  </si>
  <si>
    <t>Head In</t>
  </si>
  <si>
    <t>Date Started</t>
  </si>
  <si>
    <t>Net Revenue</t>
  </si>
  <si>
    <t>Production Numbers Calculated</t>
  </si>
  <si>
    <t>Calculated Economic Measures</t>
  </si>
  <si>
    <t>Total Unit Cost (TUC)</t>
  </si>
  <si>
    <t>Number of Cattle In</t>
  </si>
  <si>
    <t>Direct Costs</t>
  </si>
  <si>
    <t xml:space="preserve">Financial Cost of Gain </t>
  </si>
  <si>
    <t xml:space="preserve">  Head Out</t>
  </si>
  <si>
    <t xml:space="preserve"> Payweight  Out</t>
  </si>
  <si>
    <t>Payweight/ Hd.</t>
  </si>
  <si>
    <t>Net Gain Lbs.</t>
  </si>
  <si>
    <t>Net Gain / Hd. Out</t>
  </si>
  <si>
    <t>Net Average Daily Gain - Lbs./Day</t>
  </si>
  <si>
    <t>Total Direct Production Cost</t>
  </si>
  <si>
    <t>Other</t>
  </si>
  <si>
    <t>Capital Required</t>
  </si>
  <si>
    <t>% of TUC</t>
  </si>
  <si>
    <t xml:space="preserve">       % of Total Cost</t>
  </si>
  <si>
    <t>*Value of Gain = ((Total Revenue-Total Cattle Cost)/Net Gain)</t>
  </si>
  <si>
    <t>Value of Gain*</t>
  </si>
  <si>
    <t>Death Loss and Culling Loss Head</t>
  </si>
  <si>
    <t>Death &amp; Culling Loss Head and Percent</t>
  </si>
  <si>
    <t>Culling Loss Hd.</t>
  </si>
  <si>
    <t>% of Breed</t>
  </si>
  <si>
    <t>Date Started - Retained or Purchased</t>
  </si>
  <si>
    <t>Number of Cattle  - Head In</t>
  </si>
  <si>
    <t>Grazing Lease Payment</t>
  </si>
  <si>
    <t>Total Costs</t>
  </si>
  <si>
    <t>Number of Head In</t>
  </si>
  <si>
    <t>Must enter head of cattle in lot for close out.</t>
  </si>
  <si>
    <t xml:space="preserve">    Head In</t>
  </si>
  <si>
    <t>Per Hd. Out</t>
  </si>
  <si>
    <t>Annualize Capital</t>
  </si>
  <si>
    <t>Grazing Margin</t>
  </si>
  <si>
    <t xml:space="preserve">*Annualized operating capital required is calculated by adding cost of cattle in plus </t>
  </si>
  <si>
    <t>$/Hd.Out</t>
  </si>
  <si>
    <t>Annualized Total</t>
  </si>
  <si>
    <t>Operating Capital*</t>
  </si>
  <si>
    <t>Calculated Cost of Capital</t>
  </si>
  <si>
    <t>_________________________________________________________________________________________________</t>
  </si>
  <si>
    <t xml:space="preserve">  1/2 of non-cattle cost, (not including interest), times days grazed/365 or capital required adjusted of time grazed.</t>
  </si>
  <si>
    <t>Other Non-cattle or</t>
  </si>
  <si>
    <t>grazing costs</t>
  </si>
  <si>
    <t>Revenue</t>
  </si>
  <si>
    <t>Feeder Cost</t>
  </si>
  <si>
    <t>Cost of Gain</t>
  </si>
  <si>
    <t xml:space="preserve">Revenue, Stocker Cost, Cost of Gain and Margin - Head Out </t>
  </si>
  <si>
    <t>Production Costs and Margin</t>
  </si>
  <si>
    <t>Cost of Stocker</t>
  </si>
  <si>
    <t>Cost of Gain Including G&amp;A</t>
  </si>
  <si>
    <t>Finance Cost</t>
  </si>
  <si>
    <t>Margin Analysis</t>
  </si>
  <si>
    <t>Net Margin or Income</t>
  </si>
  <si>
    <t>Total Annualized Operating Capital*</t>
  </si>
  <si>
    <t>Angus</t>
  </si>
  <si>
    <t>Retained</t>
  </si>
  <si>
    <t>Weaned off the cow</t>
  </si>
  <si>
    <t>Steers</t>
  </si>
  <si>
    <t xml:space="preserve">  - See Sheet 2 for Data</t>
  </si>
  <si>
    <t>Total Per Load</t>
  </si>
  <si>
    <t>Miles Hauled</t>
  </si>
  <si>
    <t>Cost per loaded mile</t>
  </si>
  <si>
    <t>Pounds load</t>
  </si>
  <si>
    <t>Weight  on Sheet 2</t>
  </si>
  <si>
    <t>Number of Hd.  On Load</t>
  </si>
  <si>
    <t>Total for Cattle</t>
  </si>
  <si>
    <t>Total Per Head</t>
  </si>
  <si>
    <r>
      <t xml:space="preserve">Freight </t>
    </r>
    <r>
      <rPr>
        <b/>
        <sz val="12"/>
        <rFont val="Arial"/>
        <family val="2"/>
      </rPr>
      <t xml:space="preserve">In  - </t>
    </r>
    <r>
      <rPr>
        <b/>
        <sz val="10"/>
        <rFont val="Arial"/>
        <family val="2"/>
      </rPr>
      <t>Use Calculator if Unknown)</t>
    </r>
  </si>
  <si>
    <t>Lb.</t>
  </si>
  <si>
    <t>Freight Shrink</t>
  </si>
  <si>
    <t xml:space="preserve">      Lb./Head</t>
  </si>
  <si>
    <t>Off Truck Weight - Freight Shrink</t>
  </si>
  <si>
    <t>Subtotal Cattle Net Payweight Costs</t>
  </si>
  <si>
    <t>Days between starting and ending.</t>
  </si>
  <si>
    <t xml:space="preserve">                  Units</t>
  </si>
  <si>
    <t>Stocker Cattle Freight Calculator</t>
  </si>
  <si>
    <t>Lot or Group Number</t>
  </si>
  <si>
    <t xml:space="preserve">Indirect Cost </t>
  </si>
  <si>
    <t>Stored Forages</t>
  </si>
  <si>
    <t xml:space="preserve">Grassfed Data by Lot or Group Production Close Out </t>
  </si>
  <si>
    <t>Payweight Cost of Stocker In</t>
  </si>
  <si>
    <t xml:space="preserve">Total Indirect Costs </t>
  </si>
  <si>
    <t>Grazing Cost</t>
  </si>
  <si>
    <t>Processing &amp; Vet Medicine</t>
  </si>
  <si>
    <t>Finance</t>
  </si>
  <si>
    <t>*The class capability is used in QuickBooks Pro™ to generate these costs.</t>
  </si>
  <si>
    <t>Grassfed Beef</t>
  </si>
  <si>
    <t>Production Cost (Not Including Stocker Cattle Cost)</t>
  </si>
  <si>
    <t>% to Lot</t>
  </si>
  <si>
    <t>Total Direct Costs</t>
  </si>
  <si>
    <t>Subtotal Other Direct Costs</t>
  </si>
  <si>
    <t xml:space="preserve">$/Hd. Day </t>
  </si>
  <si>
    <r>
      <t xml:space="preserve">Sub-Total </t>
    </r>
    <r>
      <rPr>
        <b/>
        <sz val="10"/>
        <rFont val="Arial"/>
        <family val="2"/>
      </rPr>
      <t>Non-Cattle or Grazing Cost</t>
    </r>
  </si>
  <si>
    <r>
      <t xml:space="preserve">Sub-Total </t>
    </r>
    <r>
      <rPr>
        <b/>
        <sz val="11"/>
        <rFont val="Arial"/>
        <family val="2"/>
      </rPr>
      <t xml:space="preserve">Grazing &amp; Stored Feed </t>
    </r>
  </si>
  <si>
    <t>_________________________________________________________________________________</t>
  </si>
  <si>
    <t>Total Cost of Gain (COG)</t>
  </si>
  <si>
    <r>
      <t xml:space="preserve">Total Cost Per Head - </t>
    </r>
    <r>
      <rPr>
        <b/>
        <sz val="11"/>
        <rFont val="Arial"/>
        <family val="2"/>
      </rPr>
      <t>Total Unit Cost per Head</t>
    </r>
  </si>
  <si>
    <t xml:space="preserve"> Net Margin or Income</t>
  </si>
  <si>
    <t>Lot or Group</t>
  </si>
  <si>
    <t>In Pounds per Acre - Stocking Rate</t>
  </si>
  <si>
    <t>In Lb./Acre</t>
  </si>
  <si>
    <t>Head Days per Head Out</t>
  </si>
  <si>
    <t>Production System</t>
  </si>
  <si>
    <t>Freight In</t>
  </si>
  <si>
    <t xml:space="preserve">Grazing Cost of Gain </t>
  </si>
  <si>
    <t>Grazing Cost as % of - COG</t>
  </si>
  <si>
    <t>Total Payweight Sale Price - Out</t>
  </si>
  <si>
    <t>Origin of Cattle</t>
  </si>
  <si>
    <t>$/Cwt.- $/Hd.</t>
  </si>
  <si>
    <t>Head Marketed</t>
  </si>
  <si>
    <t>Other Costs of Gain</t>
  </si>
  <si>
    <t>Winter wheat &amp; native pasture</t>
  </si>
  <si>
    <t>Description of Sale</t>
  </si>
  <si>
    <t>Description of Sale - Live =1,Carcass =2</t>
  </si>
  <si>
    <t>Gross income minus freight and marketing costs.</t>
  </si>
  <si>
    <t xml:space="preserve">Net Payweight Live Sales </t>
  </si>
  <si>
    <t>Net Income from Carcass Sales</t>
  </si>
  <si>
    <t>Total Net Revenue - Live Weight Equivalent</t>
  </si>
  <si>
    <t>Carcass sales expressed as live weight equivalent.</t>
  </si>
  <si>
    <t>Lot 1 Example</t>
  </si>
  <si>
    <t xml:space="preserve">          Total</t>
  </si>
  <si>
    <t xml:space="preserve">Net Margin or Income </t>
  </si>
  <si>
    <t xml:space="preserve">Lot 1 example </t>
  </si>
  <si>
    <t>Grassfed Beef Live or Carcass Closeout Financial Data *</t>
  </si>
  <si>
    <t>Grassfed Beef Live or Carcass  Closeout Profitability Analysis</t>
  </si>
  <si>
    <t xml:space="preserve">Starting and Ending  Date </t>
  </si>
  <si>
    <t>Breed and % of Dominant Breed</t>
  </si>
  <si>
    <t>Payweight Cost of Cattle - In</t>
  </si>
  <si>
    <t xml:space="preserve">Grassfed Beef Live or Carcass Closeout Profit Summary </t>
  </si>
  <si>
    <t xml:space="preserve">Annualized Return on Investment - ROI </t>
  </si>
  <si>
    <t xml:space="preserve">                   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</si>
</sst>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$-409]#,##0"/>
    <numFmt numFmtId="166" formatCode="[$$-409]#,##0.00"/>
    <numFmt numFmtId="167" formatCode="_(* #,##0_);_(* \(#,##0\);_(* &quot;-&quot;??_);_(@_)"/>
    <numFmt numFmtId="168" formatCode="[$$-409]#,##0.00_);[Red]\([$$-409]#,##0.00\)"/>
    <numFmt numFmtId="169" formatCode="&quot;$&quot;#,##0.00"/>
    <numFmt numFmtId="170" formatCode="0_);\(0\)"/>
    <numFmt numFmtId="171" formatCode="&quot;$&quot;#,##0"/>
    <numFmt numFmtId="172" formatCode="0.000"/>
    <numFmt numFmtId="173" formatCode="[$$-409]#,##0.00_);\([$$-409]#,##0.00\)"/>
    <numFmt numFmtId="174" formatCode="[$$-409]#,##0_);[Red]\([$$-409]#,##0\)"/>
    <numFmt numFmtId="175" formatCode="_(* #,##0.0_);_(* \(#,##0.0\);_(* &quot;-&quot;??_);_(@_)"/>
    <numFmt numFmtId="176" formatCode="0.0%"/>
    <numFmt numFmtId="177" formatCode="[$-409]d\-mmm\-yy;@"/>
    <numFmt numFmtId="178" formatCode="#,##0.0"/>
    <numFmt numFmtId="179" formatCode="_(&quot;$&quot;* #,##0_);_(&quot;$&quot;* \(#,##0\);_(&quot;$&quot;* &quot;-&quot;??_);_(@_)"/>
    <numFmt numFmtId="180" formatCode="&quot;$&quot;#,##0.000_);[Red]\(&quot;$&quot;#,##0.000\)"/>
    <numFmt numFmtId="181" formatCode="[$$-409]#,##0.000"/>
  </numFmts>
  <fonts count="26">
    <font>
      <sz val="12"/>
      <name val="Arial"/>
    </font>
    <font>
      <sz val="12"/>
      <name val="Arial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sz val="12"/>
      <color indexed="3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39"/>
      <name val="Arial"/>
      <family val="2"/>
    </font>
    <font>
      <sz val="8"/>
      <name val="Arial"/>
      <family val="2"/>
    </font>
    <font>
      <b/>
      <sz val="12"/>
      <color indexed="3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2"/>
      <color rgb="FF0099FF"/>
      <name val="Arial"/>
      <family val="2"/>
    </font>
    <font>
      <sz val="12"/>
      <color rgb="FF3333FF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3333FF"/>
      <name val="Arial"/>
      <family val="2"/>
    </font>
    <font>
      <sz val="10"/>
      <color rgb="FF3333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</cellStyleXfs>
  <cellXfs count="2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5" fontId="1" fillId="0" borderId="0" xfId="0" applyNumberFormat="1" applyFont="1" applyAlignment="1" applyProtection="1"/>
    <xf numFmtId="0" fontId="4" fillId="0" borderId="0" xfId="0" applyFont="1" applyProtection="1">
      <protection locked="0"/>
    </xf>
    <xf numFmtId="0" fontId="5" fillId="0" borderId="0" xfId="0" applyFont="1"/>
    <xf numFmtId="166" fontId="5" fillId="0" borderId="0" xfId="0" applyNumberFormat="1" applyFont="1" applyProtection="1"/>
    <xf numFmtId="7" fontId="5" fillId="0" borderId="0" xfId="0" applyNumberFormat="1" applyFont="1" applyProtection="1"/>
    <xf numFmtId="15" fontId="0" fillId="0" borderId="0" xfId="0" applyNumberFormat="1"/>
    <xf numFmtId="3" fontId="0" fillId="0" borderId="0" xfId="0" applyNumberFormat="1"/>
    <xf numFmtId="167" fontId="1" fillId="0" borderId="0" xfId="0" applyNumberFormat="1" applyFont="1"/>
    <xf numFmtId="7" fontId="5" fillId="0" borderId="0" xfId="0" applyNumberFormat="1" applyFont="1"/>
    <xf numFmtId="7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5" fontId="7" fillId="0" borderId="0" xfId="0" applyNumberFormat="1" applyFont="1" applyProtection="1"/>
    <xf numFmtId="164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Protection="1"/>
    <xf numFmtId="7" fontId="7" fillId="0" borderId="0" xfId="0" applyNumberFormat="1" applyFont="1" applyProtection="1"/>
    <xf numFmtId="5" fontId="5" fillId="0" borderId="0" xfId="0" applyNumberFormat="1" applyFont="1" applyProtection="1"/>
    <xf numFmtId="172" fontId="0" fillId="0" borderId="0" xfId="0" applyNumberFormat="1"/>
    <xf numFmtId="44" fontId="0" fillId="0" borderId="0" xfId="2" applyFont="1" applyProtection="1"/>
    <xf numFmtId="0" fontId="5" fillId="0" borderId="0" xfId="0" applyFont="1" applyProtection="1"/>
    <xf numFmtId="0" fontId="1" fillId="0" borderId="0" xfId="0" applyFont="1" applyAlignment="1" applyProtection="1">
      <alignment horizontal="center" vertical="center"/>
      <protection locked="0"/>
    </xf>
    <xf numFmtId="170" fontId="5" fillId="0" borderId="0" xfId="0" applyNumberFormat="1" applyFont="1" applyProtection="1">
      <protection locked="0"/>
    </xf>
    <xf numFmtId="0" fontId="8" fillId="0" borderId="0" xfId="0" applyFont="1"/>
    <xf numFmtId="173" fontId="5" fillId="0" borderId="0" xfId="0" applyNumberFormat="1" applyFont="1" applyProtection="1"/>
    <xf numFmtId="7" fontId="0" fillId="0" borderId="0" xfId="0" applyNumberFormat="1"/>
    <xf numFmtId="165" fontId="5" fillId="0" borderId="0" xfId="0" applyNumberFormat="1" applyFont="1"/>
    <xf numFmtId="168" fontId="0" fillId="0" borderId="0" xfId="0" applyNumberFormat="1"/>
    <xf numFmtId="44" fontId="0" fillId="0" borderId="0" xfId="0" applyNumberFormat="1"/>
    <xf numFmtId="166" fontId="0" fillId="0" borderId="0" xfId="0" applyNumberFormat="1"/>
    <xf numFmtId="169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174" fontId="5" fillId="0" borderId="0" xfId="1" applyNumberFormat="1" applyFont="1" applyBorder="1" applyProtection="1"/>
    <xf numFmtId="9" fontId="5" fillId="0" borderId="0" xfId="4" applyFont="1" applyBorder="1" applyProtection="1"/>
    <xf numFmtId="165" fontId="5" fillId="0" borderId="0" xfId="1" applyNumberFormat="1" applyFont="1" applyBorder="1" applyProtection="1"/>
    <xf numFmtId="0" fontId="0" fillId="0" borderId="0" xfId="0" applyFill="1"/>
    <xf numFmtId="0" fontId="4" fillId="0" borderId="0" xfId="0" applyFont="1" applyFill="1" applyProtection="1">
      <protection locked="0"/>
    </xf>
    <xf numFmtId="0" fontId="5" fillId="0" borderId="0" xfId="0" applyFont="1" applyFill="1"/>
    <xf numFmtId="7" fontId="5" fillId="0" borderId="0" xfId="0" applyNumberFormat="1" applyFont="1" applyAlignment="1">
      <alignment horizontal="center"/>
    </xf>
    <xf numFmtId="167" fontId="0" fillId="0" borderId="0" xfId="0" applyNumberFormat="1"/>
    <xf numFmtId="0" fontId="7" fillId="0" borderId="0" xfId="0" applyFont="1" applyAlignment="1">
      <alignment horizontal="left"/>
    </xf>
    <xf numFmtId="8" fontId="0" fillId="0" borderId="0" xfId="0" applyNumberFormat="1"/>
    <xf numFmtId="8" fontId="7" fillId="0" borderId="0" xfId="0" applyNumberFormat="1" applyFont="1"/>
    <xf numFmtId="15" fontId="5" fillId="0" borderId="0" xfId="0" applyNumberFormat="1" applyFont="1" applyFill="1" applyBorder="1" applyProtection="1"/>
    <xf numFmtId="167" fontId="5" fillId="0" borderId="0" xfId="1" applyNumberFormat="1" applyFont="1" applyFill="1" applyBorder="1" applyProtection="1"/>
    <xf numFmtId="0" fontId="5" fillId="0" borderId="0" xfId="0" applyFont="1" applyProtection="1">
      <protection locked="0"/>
    </xf>
    <xf numFmtId="5" fontId="5" fillId="0" borderId="0" xfId="0" applyNumberFormat="1" applyFont="1" applyBorder="1" applyProtection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13" fillId="0" borderId="0" xfId="3"/>
    <xf numFmtId="0" fontId="1" fillId="0" borderId="0" xfId="3" applyFont="1"/>
    <xf numFmtId="0" fontId="5" fillId="0" borderId="0" xfId="3" applyFont="1"/>
    <xf numFmtId="0" fontId="7" fillId="0" borderId="0" xfId="3" applyFont="1"/>
    <xf numFmtId="0" fontId="5" fillId="0" borderId="0" xfId="3" applyFont="1" applyAlignment="1">
      <alignment horizontal="left"/>
    </xf>
    <xf numFmtId="0" fontId="1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171" fontId="5" fillId="0" borderId="0" xfId="0" applyNumberFormat="1" applyFont="1" applyBorder="1" applyProtection="1"/>
    <xf numFmtId="169" fontId="5" fillId="0" borderId="0" xfId="0" quotePrefix="1" applyNumberFormat="1" applyFont="1" applyAlignment="1">
      <alignment horizontal="right"/>
    </xf>
    <xf numFmtId="7" fontId="5" fillId="0" borderId="0" xfId="0" applyNumberFormat="1" applyFont="1" applyAlignment="1" applyProtection="1">
      <alignment horizontal="right"/>
      <protection locked="0"/>
    </xf>
    <xf numFmtId="166" fontId="7" fillId="0" borderId="0" xfId="0" applyNumberFormat="1" applyFont="1" applyProtection="1"/>
    <xf numFmtId="9" fontId="7" fillId="0" borderId="0" xfId="4" applyFont="1" applyProtection="1"/>
    <xf numFmtId="168" fontId="7" fillId="0" borderId="0" xfId="0" applyNumberFormat="1" applyFont="1"/>
    <xf numFmtId="169" fontId="7" fillId="0" borderId="0" xfId="0" applyNumberFormat="1" applyFont="1" applyProtection="1">
      <protection locked="0"/>
    </xf>
    <xf numFmtId="5" fontId="7" fillId="0" borderId="0" xfId="0" applyNumberFormat="1" applyFont="1" applyBorder="1" applyProtection="1"/>
    <xf numFmtId="7" fontId="1" fillId="0" borderId="0" xfId="0" applyNumberFormat="1" applyFont="1"/>
    <xf numFmtId="9" fontId="7" fillId="0" borderId="0" xfId="4" applyFont="1"/>
    <xf numFmtId="0" fontId="1" fillId="0" borderId="0" xfId="0" applyFont="1" applyBorder="1" applyProtection="1">
      <protection locked="0"/>
    </xf>
    <xf numFmtId="177" fontId="1" fillId="0" borderId="0" xfId="0" applyNumberFormat="1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167" fontId="1" fillId="0" borderId="0" xfId="1" applyNumberFormat="1" applyFont="1" applyFill="1" applyBorder="1" applyProtection="1">
      <protection locked="0"/>
    </xf>
    <xf numFmtId="167" fontId="1" fillId="0" borderId="0" xfId="1" applyNumberFormat="1" applyFont="1" applyFill="1" applyBorder="1" applyProtection="1"/>
    <xf numFmtId="8" fontId="1" fillId="0" borderId="0" xfId="0" applyNumberFormat="1" applyFont="1"/>
    <xf numFmtId="3" fontId="1" fillId="0" borderId="0" xfId="0" applyNumberFormat="1" applyFont="1" applyBorder="1" applyProtection="1">
      <protection locked="0"/>
    </xf>
    <xf numFmtId="171" fontId="12" fillId="0" borderId="0" xfId="0" applyNumberFormat="1" applyFont="1" applyProtection="1">
      <protection locked="0"/>
    </xf>
    <xf numFmtId="171" fontId="6" fillId="0" borderId="0" xfId="1" applyNumberFormat="1" applyFont="1" applyBorder="1" applyAlignment="1" applyProtection="1">
      <alignment horizontal="right"/>
      <protection locked="0"/>
    </xf>
    <xf numFmtId="171" fontId="7" fillId="0" borderId="0" xfId="0" applyNumberFormat="1" applyFont="1" applyProtection="1">
      <protection locked="0"/>
    </xf>
    <xf numFmtId="171" fontId="0" fillId="0" borderId="0" xfId="0" applyNumberFormat="1"/>
    <xf numFmtId="175" fontId="1" fillId="0" borderId="0" xfId="0" applyNumberFormat="1" applyFont="1"/>
    <xf numFmtId="168" fontId="7" fillId="0" borderId="0" xfId="0" applyNumberFormat="1" applyFont="1" applyProtection="1"/>
    <xf numFmtId="168" fontId="5" fillId="0" borderId="0" xfId="0" applyNumberFormat="1" applyFont="1" applyProtection="1"/>
    <xf numFmtId="0" fontId="14" fillId="0" borderId="0" xfId="0" applyFont="1"/>
    <xf numFmtId="168" fontId="7" fillId="2" borderId="0" xfId="0" applyNumberFormat="1" applyFont="1" applyFill="1"/>
    <xf numFmtId="0" fontId="0" fillId="0" borderId="0" xfId="3" applyFont="1"/>
    <xf numFmtId="7" fontId="7" fillId="2" borderId="0" xfId="0" applyNumberFormat="1" applyFont="1" applyFill="1"/>
    <xf numFmtId="164" fontId="1" fillId="0" borderId="0" xfId="0" applyNumberFormat="1" applyFont="1" applyFill="1" applyBorder="1" applyProtection="1"/>
    <xf numFmtId="3" fontId="1" fillId="0" borderId="0" xfId="0" applyNumberFormat="1" applyFont="1" applyBorder="1" applyProtection="1"/>
    <xf numFmtId="178" fontId="1" fillId="0" borderId="0" xfId="0" applyNumberFormat="1" applyFont="1" applyBorder="1" applyProtection="1"/>
    <xf numFmtId="1" fontId="1" fillId="0" borderId="0" xfId="0" applyNumberFormat="1" applyFont="1" applyBorder="1" applyProtection="1"/>
    <xf numFmtId="177" fontId="1" fillId="0" borderId="0" xfId="0" applyNumberFormat="1" applyFont="1" applyFill="1" applyBorder="1" applyProtection="1"/>
    <xf numFmtId="167" fontId="1" fillId="0" borderId="0" xfId="1" applyNumberFormat="1" applyFont="1" applyProtection="1"/>
    <xf numFmtId="167" fontId="1" fillId="0" borderId="0" xfId="0" applyNumberFormat="1" applyFont="1" applyProtection="1"/>
    <xf numFmtId="0" fontId="7" fillId="0" borderId="0" xfId="0" applyFont="1" applyProtection="1">
      <protection locked="0"/>
    </xf>
    <xf numFmtId="0" fontId="7" fillId="2" borderId="0" xfId="0" applyFont="1" applyFill="1"/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left"/>
    </xf>
    <xf numFmtId="0" fontId="1" fillId="2" borderId="0" xfId="0" applyFont="1" applyFill="1"/>
    <xf numFmtId="5" fontId="7" fillId="2" borderId="0" xfId="0" applyNumberFormat="1" applyFont="1" applyFill="1" applyProtection="1"/>
    <xf numFmtId="8" fontId="7" fillId="2" borderId="0" xfId="0" applyNumberFormat="1" applyFont="1" applyFill="1"/>
    <xf numFmtId="0" fontId="5" fillId="0" borderId="0" xfId="3" applyFont="1" applyFill="1" applyProtection="1"/>
    <xf numFmtId="168" fontId="7" fillId="0" borderId="0" xfId="0" applyNumberFormat="1" applyFont="1" applyAlignment="1">
      <alignment horizontal="center"/>
    </xf>
    <xf numFmtId="168" fontId="7" fillId="0" borderId="0" xfId="1" applyNumberFormat="1" applyFont="1" applyBorder="1" applyAlignment="1">
      <alignment horizontal="center"/>
    </xf>
    <xf numFmtId="8" fontId="5" fillId="0" borderId="0" xfId="0" applyNumberFormat="1" applyFont="1"/>
    <xf numFmtId="0" fontId="8" fillId="2" borderId="0" xfId="0" applyFont="1" applyFill="1"/>
    <xf numFmtId="5" fontId="7" fillId="2" borderId="0" xfId="0" applyNumberFormat="1" applyFont="1" applyFill="1" applyAlignment="1">
      <alignment horizontal="right"/>
    </xf>
    <xf numFmtId="181" fontId="0" fillId="0" borderId="0" xfId="0" applyNumberFormat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10" fontId="7" fillId="2" borderId="0" xfId="4" applyNumberFormat="1" applyFont="1" applyFill="1" applyProtection="1"/>
    <xf numFmtId="164" fontId="6" fillId="0" borderId="1" xfId="0" applyNumberFormat="1" applyFont="1" applyFill="1" applyBorder="1" applyProtection="1">
      <protection locked="0"/>
    </xf>
    <xf numFmtId="167" fontId="6" fillId="0" borderId="1" xfId="1" applyNumberFormat="1" applyFont="1" applyBorder="1" applyProtection="1">
      <protection locked="0"/>
    </xf>
    <xf numFmtId="167" fontId="3" fillId="0" borderId="1" xfId="1" applyNumberFormat="1" applyFont="1" applyFill="1" applyBorder="1" applyProtection="1">
      <protection locked="0"/>
    </xf>
    <xf numFmtId="164" fontId="3" fillId="0" borderId="1" xfId="0" applyNumberFormat="1" applyFont="1" applyFill="1" applyBorder="1" applyProtection="1">
      <protection locked="0"/>
    </xf>
    <xf numFmtId="3" fontId="6" fillId="0" borderId="1" xfId="0" applyNumberFormat="1" applyFont="1" applyFill="1" applyBorder="1" applyProtection="1">
      <protection locked="0"/>
    </xf>
    <xf numFmtId="2" fontId="7" fillId="0" borderId="0" xfId="0" applyNumberFormat="1" applyFont="1"/>
    <xf numFmtId="0" fontId="1" fillId="2" borderId="0" xfId="0" applyFont="1" applyFill="1" applyAlignment="1" applyProtection="1">
      <alignment horizontal="center" vertical="center"/>
      <protection locked="0"/>
    </xf>
    <xf numFmtId="170" fontId="5" fillId="2" borderId="0" xfId="0" applyNumberFormat="1" applyFont="1" applyFill="1" applyProtection="1">
      <protection locked="0"/>
    </xf>
    <xf numFmtId="7" fontId="5" fillId="2" borderId="0" xfId="0" applyNumberFormat="1" applyFont="1" applyFill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172" fontId="5" fillId="0" borderId="0" xfId="0" applyNumberFormat="1" applyFont="1"/>
    <xf numFmtId="7" fontId="7" fillId="0" borderId="0" xfId="2" applyNumberFormat="1" applyFont="1"/>
    <xf numFmtId="9" fontId="5" fillId="0" borderId="0" xfId="4" applyFont="1"/>
    <xf numFmtId="9" fontId="5" fillId="2" borderId="0" xfId="4" applyFont="1" applyFill="1"/>
    <xf numFmtId="9" fontId="7" fillId="2" borderId="0" xfId="4" applyFont="1" applyFill="1"/>
    <xf numFmtId="176" fontId="5" fillId="0" borderId="0" xfId="4" applyNumberFormat="1" applyFont="1"/>
    <xf numFmtId="0" fontId="15" fillId="0" borderId="0" xfId="0" applyFont="1"/>
    <xf numFmtId="3" fontId="7" fillId="0" borderId="0" xfId="0" applyNumberFormat="1" applyFont="1" applyBorder="1" applyProtection="1"/>
    <xf numFmtId="7" fontId="7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>
      <alignment horizontal="right"/>
    </xf>
    <xf numFmtId="10" fontId="5" fillId="0" borderId="2" xfId="4" applyNumberFormat="1" applyFont="1" applyFill="1" applyBorder="1" applyProtection="1"/>
    <xf numFmtId="177" fontId="10" fillId="0" borderId="3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169" fontId="0" fillId="0" borderId="0" xfId="0" applyNumberFormat="1"/>
    <xf numFmtId="177" fontId="5" fillId="0" borderId="4" xfId="0" applyNumberFormat="1" applyFont="1" applyBorder="1" applyAlignment="1" applyProtection="1">
      <alignment horizontal="left"/>
    </xf>
    <xf numFmtId="167" fontId="5" fillId="0" borderId="5" xfId="1" applyNumberFormat="1" applyFont="1" applyBorder="1" applyProtection="1"/>
    <xf numFmtId="0" fontId="17" fillId="0" borderId="0" xfId="0" applyFont="1"/>
    <xf numFmtId="164" fontId="5" fillId="0" borderId="2" xfId="0" applyNumberFormat="1" applyFont="1" applyFill="1" applyBorder="1" applyProtection="1"/>
    <xf numFmtId="176" fontId="1" fillId="0" borderId="0" xfId="4" applyNumberFormat="1" applyFont="1" applyBorder="1" applyProtection="1"/>
    <xf numFmtId="10" fontId="0" fillId="0" borderId="0" xfId="0" applyNumberFormat="1"/>
    <xf numFmtId="168" fontId="5" fillId="0" borderId="0" xfId="0" applyNumberFormat="1" applyFont="1"/>
    <xf numFmtId="0" fontId="5" fillId="0" borderId="0" xfId="0" applyFont="1" applyAlignment="1">
      <alignment horizontal="right"/>
    </xf>
    <xf numFmtId="9" fontId="0" fillId="0" borderId="0" xfId="4" applyFont="1"/>
    <xf numFmtId="177" fontId="1" fillId="0" borderId="0" xfId="0" applyNumberFormat="1" applyFont="1" applyBorder="1" applyProtection="1"/>
    <xf numFmtId="171" fontId="5" fillId="0" borderId="0" xfId="0" applyNumberFormat="1" applyFont="1"/>
    <xf numFmtId="5" fontId="0" fillId="0" borderId="0" xfId="0" applyNumberFormat="1"/>
    <xf numFmtId="5" fontId="7" fillId="0" borderId="0" xfId="0" applyNumberFormat="1" applyFont="1"/>
    <xf numFmtId="5" fontId="7" fillId="0" borderId="0" xfId="0" quotePrefix="1" applyNumberFormat="1" applyFont="1"/>
    <xf numFmtId="0" fontId="7" fillId="3" borderId="0" xfId="0" applyFont="1" applyFill="1"/>
    <xf numFmtId="0" fontId="7" fillId="3" borderId="0" xfId="0" applyFont="1" applyFill="1" applyAlignment="1" applyProtection="1">
      <alignment horizontal="center" vertical="center"/>
      <protection locked="0"/>
    </xf>
    <xf numFmtId="8" fontId="5" fillId="3" borderId="0" xfId="0" applyNumberFormat="1" applyFont="1" applyFill="1"/>
    <xf numFmtId="7" fontId="5" fillId="3" borderId="0" xfId="0" applyNumberFormat="1" applyFont="1" applyFill="1"/>
    <xf numFmtId="5" fontId="5" fillId="3" borderId="0" xfId="0" applyNumberFormat="1" applyFont="1" applyFill="1" applyBorder="1" applyProtection="1"/>
    <xf numFmtId="176" fontId="5" fillId="3" borderId="0" xfId="4" applyNumberFormat="1" applyFont="1" applyFill="1"/>
    <xf numFmtId="0" fontId="7" fillId="3" borderId="0" xfId="0" applyFont="1" applyFill="1" applyProtection="1">
      <protection locked="0"/>
    </xf>
    <xf numFmtId="0" fontId="7" fillId="3" borderId="0" xfId="0" applyFont="1" applyFill="1" applyAlignment="1">
      <alignment horizontal="center"/>
    </xf>
    <xf numFmtId="7" fontId="7" fillId="3" borderId="0" xfId="0" applyNumberFormat="1" applyFont="1" applyFill="1" applyProtection="1"/>
    <xf numFmtId="165" fontId="7" fillId="3" borderId="0" xfId="1" applyNumberFormat="1" applyFont="1" applyFill="1" applyBorder="1" applyProtection="1"/>
    <xf numFmtId="166" fontId="7" fillId="3" borderId="0" xfId="0" applyNumberFormat="1" applyFont="1" applyFill="1" applyProtection="1"/>
    <xf numFmtId="8" fontId="7" fillId="3" borderId="0" xfId="0" applyNumberFormat="1" applyFont="1" applyFill="1"/>
    <xf numFmtId="5" fontId="7" fillId="3" borderId="0" xfId="0" applyNumberFormat="1" applyFont="1" applyFill="1" applyProtection="1"/>
    <xf numFmtId="9" fontId="7" fillId="3" borderId="0" xfId="4" applyFont="1" applyFill="1"/>
    <xf numFmtId="3" fontId="1" fillId="0" borderId="0" xfId="0" applyNumberFormat="1" applyFont="1" applyBorder="1" applyAlignment="1" applyProtection="1">
      <alignment horizontal="left"/>
    </xf>
    <xf numFmtId="0" fontId="19" fillId="0" borderId="0" xfId="0" applyFont="1"/>
    <xf numFmtId="1" fontId="20" fillId="0" borderId="1" xfId="1" applyNumberFormat="1" applyFont="1" applyBorder="1" applyAlignment="1" applyProtection="1">
      <alignment horizontal="left"/>
      <protection locked="0"/>
    </xf>
    <xf numFmtId="0" fontId="7" fillId="0" borderId="6" xfId="3" applyFont="1" applyFill="1" applyBorder="1"/>
    <xf numFmtId="0" fontId="15" fillId="0" borderId="7" xfId="3" applyFont="1" applyBorder="1" applyProtection="1"/>
    <xf numFmtId="0" fontId="15" fillId="0" borderId="2" xfId="3" applyFont="1" applyBorder="1" applyProtection="1"/>
    <xf numFmtId="0" fontId="15" fillId="0" borderId="7" xfId="3" applyFont="1" applyBorder="1"/>
    <xf numFmtId="0" fontId="8" fillId="0" borderId="6" xfId="3" applyFont="1" applyFill="1" applyBorder="1"/>
    <xf numFmtId="0" fontId="0" fillId="0" borderId="8" xfId="0" applyBorder="1"/>
    <xf numFmtId="6" fontId="7" fillId="0" borderId="0" xfId="3" applyNumberFormat="1" applyFont="1" applyBorder="1" applyAlignment="1" applyProtection="1">
      <alignment horizontal="right"/>
    </xf>
    <xf numFmtId="0" fontId="15" fillId="0" borderId="0" xfId="3" applyFont="1" applyBorder="1" applyAlignment="1">
      <alignment horizontal="left"/>
    </xf>
    <xf numFmtId="0" fontId="14" fillId="0" borderId="8" xfId="3" applyFont="1" applyBorder="1"/>
    <xf numFmtId="167" fontId="3" fillId="0" borderId="1" xfId="1" applyNumberFormat="1" applyFont="1" applyBorder="1" applyProtection="1">
      <protection locked="0"/>
    </xf>
    <xf numFmtId="0" fontId="15" fillId="0" borderId="8" xfId="3" applyFont="1" applyBorder="1" applyProtection="1"/>
    <xf numFmtId="180" fontId="5" fillId="0" borderId="0" xfId="3" applyNumberFormat="1" applyFont="1" applyBorder="1" applyProtection="1"/>
    <xf numFmtId="0" fontId="15" fillId="0" borderId="0" xfId="0" applyFont="1" applyBorder="1"/>
    <xf numFmtId="0" fontId="15" fillId="0" borderId="8" xfId="3" applyFont="1" applyBorder="1" applyAlignment="1" applyProtection="1">
      <alignment horizontal="left"/>
    </xf>
    <xf numFmtId="167" fontId="21" fillId="0" borderId="1" xfId="1" applyNumberFormat="1" applyFont="1" applyBorder="1" applyAlignment="1" applyProtection="1">
      <alignment horizontal="right"/>
      <protection locked="0"/>
    </xf>
    <xf numFmtId="0" fontId="15" fillId="0" borderId="0" xfId="3" applyFont="1" applyBorder="1" applyAlignment="1" applyProtection="1">
      <alignment horizontal="left"/>
    </xf>
    <xf numFmtId="167" fontId="5" fillId="0" borderId="9" xfId="1" applyNumberFormat="1" applyFont="1" applyBorder="1" applyProtection="1"/>
    <xf numFmtId="0" fontId="14" fillId="0" borderId="8" xfId="3" applyFont="1" applyBorder="1" applyProtection="1"/>
    <xf numFmtId="0" fontId="15" fillId="0" borderId="0" xfId="3" applyFont="1" applyBorder="1" applyProtection="1"/>
    <xf numFmtId="171" fontId="22" fillId="0" borderId="10" xfId="0" applyNumberFormat="1" applyFont="1" applyBorder="1"/>
    <xf numFmtId="0" fontId="5" fillId="0" borderId="5" xfId="0" applyFont="1" applyBorder="1"/>
    <xf numFmtId="8" fontId="7" fillId="0" borderId="10" xfId="3" applyNumberFormat="1" applyFont="1" applyBorder="1" applyProtection="1"/>
    <xf numFmtId="0" fontId="15" fillId="0" borderId="11" xfId="3" applyFont="1" applyBorder="1" applyAlignment="1">
      <alignment horizontal="left"/>
    </xf>
    <xf numFmtId="0" fontId="0" fillId="0" borderId="11" xfId="0" applyBorder="1"/>
    <xf numFmtId="1" fontId="5" fillId="0" borderId="0" xfId="3" applyNumberFormat="1" applyFont="1" applyBorder="1" applyProtection="1"/>
    <xf numFmtId="167" fontId="6" fillId="0" borderId="12" xfId="1" applyNumberFormat="1" applyFont="1" applyBorder="1" applyProtection="1">
      <protection locked="0"/>
    </xf>
    <xf numFmtId="176" fontId="5" fillId="0" borderId="0" xfId="4" applyNumberFormat="1" applyFont="1" applyProtection="1"/>
    <xf numFmtId="0" fontId="9" fillId="0" borderId="0" xfId="0" applyFont="1" applyAlignment="1">
      <alignment horizontal="center"/>
    </xf>
    <xf numFmtId="0" fontId="0" fillId="0" borderId="0" xfId="0" applyFill="1" applyBorder="1"/>
    <xf numFmtId="2" fontId="5" fillId="0" borderId="0" xfId="4" applyNumberFormat="1" applyFont="1" applyBorder="1" applyProtection="1"/>
    <xf numFmtId="169" fontId="10" fillId="0" borderId="1" xfId="0" applyNumberFormat="1" applyFont="1" applyBorder="1" applyProtection="1">
      <protection locked="0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179" fontId="7" fillId="0" borderId="0" xfId="0" applyNumberFormat="1" applyFont="1" applyFill="1"/>
    <xf numFmtId="10" fontId="7" fillId="0" borderId="0" xfId="4" applyNumberFormat="1" applyFont="1" applyFill="1" applyProtection="1"/>
    <xf numFmtId="164" fontId="5" fillId="0" borderId="0" xfId="0" applyNumberFormat="1" applyFont="1" applyFill="1" applyProtection="1"/>
    <xf numFmtId="169" fontId="7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0" fontId="23" fillId="0" borderId="0" xfId="0" applyFont="1" applyProtection="1">
      <protection locked="0"/>
    </xf>
    <xf numFmtId="0" fontId="7" fillId="0" borderId="0" xfId="0" applyFont="1" applyFill="1" applyBorder="1"/>
    <xf numFmtId="0" fontId="7" fillId="0" borderId="0" xfId="0" applyFont="1" applyAlignment="1" applyProtection="1">
      <alignment horizontal="center" vertical="center"/>
      <protection locked="0"/>
    </xf>
    <xf numFmtId="170" fontId="7" fillId="0" borderId="0" xfId="0" applyNumberFormat="1" applyFont="1" applyProtection="1">
      <protection locked="0"/>
    </xf>
    <xf numFmtId="169" fontId="7" fillId="0" borderId="0" xfId="0" quotePrefix="1" applyNumberFormat="1" applyFont="1" applyAlignment="1">
      <alignment horizontal="right"/>
    </xf>
    <xf numFmtId="171" fontId="7" fillId="0" borderId="0" xfId="0" applyNumberFormat="1" applyFont="1" applyBorder="1" applyProtection="1"/>
    <xf numFmtId="176" fontId="7" fillId="0" borderId="0" xfId="4" applyNumberFormat="1" applyFont="1"/>
    <xf numFmtId="1" fontId="10" fillId="0" borderId="0" xfId="0" applyNumberFormat="1" applyFont="1" applyProtection="1">
      <protection locked="0"/>
    </xf>
    <xf numFmtId="174" fontId="6" fillId="0" borderId="0" xfId="1" applyNumberFormat="1" applyFont="1" applyBorder="1" applyAlignment="1" applyProtection="1">
      <alignment horizontal="right"/>
      <protection locked="0"/>
    </xf>
    <xf numFmtId="174" fontId="7" fillId="0" borderId="0" xfId="0" applyNumberFormat="1" applyFont="1" applyProtection="1"/>
    <xf numFmtId="174" fontId="5" fillId="0" borderId="0" xfId="0" applyNumberFormat="1" applyFont="1" applyProtection="1"/>
    <xf numFmtId="174" fontId="7" fillId="0" borderId="0" xfId="0" applyNumberFormat="1" applyFont="1" applyProtection="1">
      <protection locked="0"/>
    </xf>
    <xf numFmtId="174" fontId="10" fillId="0" borderId="0" xfId="0" applyNumberFormat="1" applyFont="1" applyProtection="1">
      <protection locked="0"/>
    </xf>
    <xf numFmtId="174" fontId="7" fillId="0" borderId="0" xfId="0" applyNumberFormat="1" applyFont="1"/>
    <xf numFmtId="174" fontId="0" fillId="0" borderId="0" xfId="0" applyNumberFormat="1"/>
    <xf numFmtId="174" fontId="7" fillId="2" borderId="0" xfId="0" applyNumberFormat="1" applyFont="1" applyFill="1" applyProtection="1"/>
    <xf numFmtId="9" fontId="1" fillId="0" borderId="0" xfId="4" applyFont="1"/>
    <xf numFmtId="165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3" applyFont="1" applyFill="1" applyAlignment="1">
      <alignment horizontal="center"/>
    </xf>
    <xf numFmtId="6" fontId="1" fillId="0" borderId="0" xfId="0" applyNumberFormat="1" applyFont="1"/>
    <xf numFmtId="165" fontId="1" fillId="0" borderId="0" xfId="1" applyNumberFormat="1" applyFont="1" applyFill="1" applyBorder="1" applyProtection="1">
      <protection locked="0"/>
    </xf>
    <xf numFmtId="0" fontId="5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Font="1"/>
    <xf numFmtId="0" fontId="7" fillId="0" borderId="0" xfId="3" applyFont="1" applyFill="1"/>
    <xf numFmtId="0" fontId="7" fillId="0" borderId="0" xfId="0" applyFont="1" applyFill="1" applyAlignment="1">
      <alignment horizontal="center"/>
    </xf>
    <xf numFmtId="8" fontId="7" fillId="0" borderId="0" xfId="0" applyNumberFormat="1" applyFont="1" applyFill="1"/>
    <xf numFmtId="0" fontId="2" fillId="0" borderId="0" xfId="0" applyFont="1" applyAlignment="1">
      <alignment horizontal="center"/>
    </xf>
    <xf numFmtId="0" fontId="7" fillId="0" borderId="0" xfId="3" applyFont="1" applyFill="1" applyAlignment="1">
      <alignment horizontal="center"/>
    </xf>
    <xf numFmtId="166" fontId="1" fillId="0" borderId="0" xfId="1" applyNumberFormat="1" applyFont="1" applyFill="1" applyBorder="1" applyProtection="1"/>
    <xf numFmtId="0" fontId="7" fillId="3" borderId="0" xfId="3" applyFont="1" applyFill="1"/>
    <xf numFmtId="7" fontId="7" fillId="3" borderId="0" xfId="0" applyNumberFormat="1" applyFont="1" applyFill="1"/>
    <xf numFmtId="5" fontId="7" fillId="3" borderId="0" xfId="0" applyNumberFormat="1" applyFont="1" applyFill="1"/>
    <xf numFmtId="168" fontId="7" fillId="3" borderId="0" xfId="0" applyNumberFormat="1" applyFont="1" applyFill="1"/>
    <xf numFmtId="0" fontId="7" fillId="3" borderId="0" xfId="3" applyFont="1" applyFill="1" applyAlignment="1">
      <alignment horizontal="center"/>
    </xf>
    <xf numFmtId="176" fontId="7" fillId="3" borderId="0" xfId="0" applyNumberFormat="1" applyFont="1" applyFill="1"/>
    <xf numFmtId="2" fontId="7" fillId="3" borderId="0" xfId="0" applyNumberFormat="1" applyFont="1" applyFill="1" applyProtection="1"/>
    <xf numFmtId="0" fontId="5" fillId="0" borderId="4" xfId="0" applyFont="1" applyBorder="1" applyProtection="1"/>
    <xf numFmtId="1" fontId="24" fillId="0" borderId="1" xfId="1" applyNumberFormat="1" applyFont="1" applyBorder="1" applyAlignment="1" applyProtection="1">
      <alignment horizontal="left"/>
      <protection locked="0"/>
    </xf>
    <xf numFmtId="0" fontId="25" fillId="0" borderId="1" xfId="0" applyFont="1" applyBorder="1" applyProtection="1">
      <protection locked="0"/>
    </xf>
    <xf numFmtId="0" fontId="7" fillId="0" borderId="0" xfId="0" applyFont="1" applyAlignment="1">
      <alignment horizontal="right"/>
    </xf>
    <xf numFmtId="177" fontId="10" fillId="0" borderId="1" xfId="0" applyNumberFormat="1" applyFont="1" applyFill="1" applyBorder="1" applyAlignment="1" applyProtection="1">
      <alignment horizontal="left"/>
      <protection locked="0"/>
    </xf>
    <xf numFmtId="171" fontId="7" fillId="2" borderId="0" xfId="0" applyNumberFormat="1" applyFont="1" applyFill="1"/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/>
    <xf numFmtId="0" fontId="6" fillId="0" borderId="13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14" xfId="0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/>
    <xf numFmtId="0" fontId="0" fillId="0" borderId="0" xfId="0" applyAlignment="1" applyProtection="1"/>
    <xf numFmtId="0" fontId="7" fillId="0" borderId="0" xfId="3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applyFont="1" applyFill="1" applyBorder="1" applyAlignment="1" applyProtection="1"/>
  </cellXfs>
  <cellStyles count="5">
    <cellStyle name="Comma" xfId="1" builtinId="3"/>
    <cellStyle name="Currency" xfId="2" builtinId="4"/>
    <cellStyle name="Normal" xfId="0" builtinId="0"/>
    <cellStyle name="Normal_Sheet1" xfId="3"/>
    <cellStyle name="Percent" xfId="4" builtinId="5"/>
  </cellStyles>
  <dxfs count="0"/>
  <tableStyles count="0" defaultTableStyle="TableStyleMedium9" defaultPivotStyle="PivotStyleLight16"/>
  <colors>
    <mruColors>
      <color rgb="FFCCFFFF"/>
      <color rgb="FF99FF99"/>
      <color rgb="FF99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 and Finance Costs $/Head</a:t>
            </a:r>
          </a:p>
        </c:rich>
      </c:tx>
      <c:layout>
        <c:manualLayout>
          <c:xMode val="edge"/>
          <c:yMode val="edge"/>
          <c:x val="0.23576312261981908"/>
          <c:y val="3.305784047465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79271070615035"/>
          <c:y val="0.31405043165254726"/>
          <c:w val="0.21184510250569477"/>
          <c:h val="0.51239807269626136"/>
        </c:manualLayout>
      </c:layout>
      <c:pieChart>
        <c:varyColors val="1"/>
        <c:ser>
          <c:idx val="0"/>
          <c:order val="0"/>
          <c:tx>
            <c:strRef>
              <c:f>'2. Grassfed CloseOut'!$I$93</c:f>
              <c:strCache>
                <c:ptCount val="1"/>
                <c:pt idx="0">
                  <c:v>$/Head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F4-47E3-B720-35DF4D70468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CF4-47E3-B720-35DF4D70468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CF4-47E3-B720-35DF4D70468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CF4-47E3-B720-35DF4D70468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 Grassfed CloseOut'!$J$92:$M$92</c:f>
              <c:strCache>
                <c:ptCount val="4"/>
                <c:pt idx="0">
                  <c:v>Cost of Stocker</c:v>
                </c:pt>
                <c:pt idx="1">
                  <c:v>Cost of Gain Including G&amp;A</c:v>
                </c:pt>
                <c:pt idx="2">
                  <c:v>Finance Cost</c:v>
                </c:pt>
                <c:pt idx="3">
                  <c:v>Net Margin</c:v>
                </c:pt>
              </c:strCache>
            </c:strRef>
          </c:cat>
          <c:val>
            <c:numRef>
              <c:f>'2. Grassfed CloseOut'!$J$93:$M$93</c:f>
              <c:numCache>
                <c:formatCode>"$"#,##0_);\("$"#,##0\)</c:formatCode>
                <c:ptCount val="4"/>
                <c:pt idx="0">
                  <c:v>725.15151515151513</c:v>
                </c:pt>
                <c:pt idx="1">
                  <c:v>1503.1919191919192</c:v>
                </c:pt>
                <c:pt idx="2">
                  <c:v>56.909090909090907</c:v>
                </c:pt>
                <c:pt idx="3">
                  <c:v>19.171717171717173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F4-47E3-B720-35DF4D7046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06292289519671"/>
          <c:y val="0.44800087500170899"/>
          <c:w val="0.25468764573343988"/>
          <c:h val="0.25760050312598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Closeout Margin Summary $/Hd.Out</a:t>
            </a:r>
          </a:p>
        </c:rich>
      </c:tx>
      <c:layout>
        <c:manualLayout>
          <c:xMode val="edge"/>
          <c:yMode val="edge"/>
          <c:x val="0.3859969666421455"/>
          <c:y val="5.3324845032668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91482112436116"/>
          <c:y val="0.21122180287555073"/>
          <c:w val="0.82623509369676318"/>
          <c:h val="0.59076097991755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Grassfed CloseOut'!$I$101</c:f>
              <c:strCache>
                <c:ptCount val="1"/>
                <c:pt idx="0">
                  <c:v>$/Hd.Out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Grassfed CloseOut'!$J$100:$L$100</c:f>
              <c:strCache>
                <c:ptCount val="3"/>
                <c:pt idx="0">
                  <c:v>Marketing Margin</c:v>
                </c:pt>
                <c:pt idx="1">
                  <c:v>Grazing Margin</c:v>
                </c:pt>
                <c:pt idx="2">
                  <c:v> Net Margin or Income</c:v>
                </c:pt>
              </c:strCache>
            </c:strRef>
          </c:cat>
          <c:val>
            <c:numRef>
              <c:f>'2. Grassfed CloseOut'!$J$101:$L$101</c:f>
              <c:numCache>
                <c:formatCode>[$$-409]#,##0.00_);[Red]\([$$-409]#,##0.00\)</c:formatCode>
                <c:ptCount val="3"/>
                <c:pt idx="0">
                  <c:v>-60.474441383532131</c:v>
                </c:pt>
                <c:pt idx="1">
                  <c:v>79.646158555249514</c:v>
                </c:pt>
                <c:pt idx="2">
                  <c:v>19.171717171717383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A-4326-9302-4C7EDC5CC3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9469264"/>
        <c:axId val="209465736"/>
      </c:barChart>
      <c:catAx>
        <c:axId val="20946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65736"/>
        <c:crosses val="autoZero"/>
        <c:auto val="1"/>
        <c:lblAlgn val="ctr"/>
        <c:lblOffset val="100"/>
        <c:tickMarkSkip val="1"/>
        <c:noMultiLvlLbl val="0"/>
      </c:catAx>
      <c:valAx>
        <c:axId val="20946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_);[Red]\([$$-409]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69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 alignWithMargins="0"/>
    <c:pageMargins b="1" l="0.75" r="0.75" t="1" header="0.5" footer="0.5"/>
    <c:pageSetup paperSize="0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</xdr:colOff>
      <xdr:row>1</xdr:row>
      <xdr:rowOff>19050</xdr:rowOff>
    </xdr:from>
    <xdr:to>
      <xdr:col>11</xdr:col>
      <xdr:colOff>114300</xdr:colOff>
      <xdr:row>3</xdr:row>
      <xdr:rowOff>107950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0" y="247650"/>
          <a:ext cx="395605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87</xdr:row>
      <xdr:rowOff>38100</xdr:rowOff>
    </xdr:from>
    <xdr:to>
      <xdr:col>6</xdr:col>
      <xdr:colOff>596900</xdr:colOff>
      <xdr:row>104</xdr:row>
      <xdr:rowOff>69850</xdr:rowOff>
    </xdr:to>
    <xdr:graphicFrame macro="">
      <xdr:nvGraphicFramePr>
        <xdr:cNvPr id="6270" name="Chart 2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</xdr:colOff>
      <xdr:row>105</xdr:row>
      <xdr:rowOff>146050</xdr:rowOff>
    </xdr:from>
    <xdr:to>
      <xdr:col>6</xdr:col>
      <xdr:colOff>558800</xdr:colOff>
      <xdr:row>125</xdr:row>
      <xdr:rowOff>165100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zoomScaleNormal="100" workbookViewId="0">
      <selection activeCell="C38" sqref="C38"/>
    </sheetView>
  </sheetViews>
  <sheetFormatPr defaultRowHeight="15.5"/>
  <cols>
    <col min="1" max="1" width="4.4609375" customWidth="1"/>
    <col min="2" max="2" width="29.84375" customWidth="1"/>
    <col min="3" max="3" width="12.765625" customWidth="1"/>
    <col min="4" max="4" width="7.3046875" customWidth="1"/>
    <col min="5" max="5" width="13.3046875" customWidth="1"/>
    <col min="6" max="6" width="8" customWidth="1"/>
    <col min="7" max="7" width="8.921875" customWidth="1"/>
    <col min="8" max="8" width="11.3046875" customWidth="1"/>
    <col min="9" max="9" width="16" customWidth="1"/>
    <col min="11" max="11" width="10.765625" customWidth="1"/>
  </cols>
  <sheetData>
    <row r="1" spans="2:12" ht="18">
      <c r="B1" s="251" t="s">
        <v>190</v>
      </c>
      <c r="C1" s="251"/>
      <c r="D1" s="251"/>
      <c r="E1" s="252"/>
      <c r="F1" s="253"/>
      <c r="G1" s="253"/>
    </row>
    <row r="2" spans="2:12">
      <c r="B2" s="83" t="s">
        <v>152</v>
      </c>
      <c r="C2" s="83"/>
      <c r="D2" s="83"/>
      <c r="E2" s="51"/>
      <c r="F2" s="51"/>
    </row>
    <row r="3" spans="2:12">
      <c r="E3" s="14" t="s">
        <v>153</v>
      </c>
    </row>
    <row r="4" spans="2:12">
      <c r="B4" s="5" t="s">
        <v>165</v>
      </c>
      <c r="C4" s="5"/>
      <c r="D4" s="5"/>
      <c r="E4" s="247" t="s">
        <v>186</v>
      </c>
      <c r="H4" s="137"/>
    </row>
    <row r="5" spans="2:12">
      <c r="B5" s="231" t="s">
        <v>180</v>
      </c>
      <c r="D5" s="246">
        <v>1</v>
      </c>
      <c r="E5" s="245" t="str">
        <f>IF(D5=1,"Live Sale","Carcass Sale")</f>
        <v>Live Sale</v>
      </c>
      <c r="H5" s="137"/>
    </row>
    <row r="6" spans="2:12">
      <c r="B6" s="5" t="s">
        <v>95</v>
      </c>
      <c r="C6" s="5"/>
      <c r="D6" s="5"/>
      <c r="E6" s="165">
        <v>100</v>
      </c>
      <c r="H6" s="137" t="s">
        <v>96</v>
      </c>
    </row>
    <row r="7" spans="2:12">
      <c r="B7" s="2" t="s">
        <v>66</v>
      </c>
      <c r="C7" s="2"/>
      <c r="D7" s="2"/>
      <c r="E7" s="132">
        <v>42628</v>
      </c>
    </row>
    <row r="8" spans="2:12">
      <c r="B8" s="13" t="s">
        <v>67</v>
      </c>
      <c r="C8" s="13"/>
      <c r="D8" s="13"/>
      <c r="E8" s="34"/>
      <c r="G8" s="164"/>
      <c r="H8" s="5" t="s">
        <v>181</v>
      </c>
    </row>
    <row r="9" spans="2:12">
      <c r="B9" s="5" t="s">
        <v>182</v>
      </c>
      <c r="C9" s="5"/>
      <c r="D9" s="5"/>
      <c r="E9" s="76">
        <v>156348</v>
      </c>
    </row>
    <row r="10" spans="2:12">
      <c r="B10" s="48" t="s">
        <v>183</v>
      </c>
      <c r="C10" s="120"/>
      <c r="D10" s="120"/>
      <c r="E10" s="77">
        <v>0</v>
      </c>
      <c r="H10" s="166" t="s">
        <v>142</v>
      </c>
      <c r="I10" s="167"/>
      <c r="J10" s="168"/>
      <c r="K10" s="168"/>
      <c r="L10" s="169"/>
    </row>
    <row r="11" spans="2:12">
      <c r="B11" s="207" t="s">
        <v>184</v>
      </c>
      <c r="C11" s="207"/>
      <c r="D11" s="207"/>
      <c r="E11" s="78">
        <f>E9+E10</f>
        <v>156348</v>
      </c>
      <c r="F11" s="134">
        <f>IF(E11=0,0,(E11)/'2. Grassfed CloseOut'!E21*100)</f>
        <v>131.60606060606062</v>
      </c>
      <c r="G11" t="s">
        <v>2</v>
      </c>
      <c r="H11" s="170" t="s">
        <v>125</v>
      </c>
      <c r="I11" s="171"/>
      <c r="J11" s="172">
        <f>H12*H13</f>
        <v>150</v>
      </c>
      <c r="K11" s="173" t="s">
        <v>126</v>
      </c>
      <c r="L11" s="174"/>
    </row>
    <row r="12" spans="2:12">
      <c r="B12" s="13" t="s">
        <v>44</v>
      </c>
      <c r="C12" s="13"/>
      <c r="D12" s="13"/>
      <c r="E12" s="30"/>
      <c r="H12" s="175">
        <v>100</v>
      </c>
      <c r="I12" s="176" t="s">
        <v>127</v>
      </c>
      <c r="J12" s="177">
        <f>IF(F1=0,0,(J11/(H14*J14)))</f>
        <v>0</v>
      </c>
      <c r="K12" s="178" t="s">
        <v>2</v>
      </c>
      <c r="L12" s="171"/>
    </row>
    <row r="13" spans="2:12">
      <c r="B13" s="5" t="s">
        <v>147</v>
      </c>
      <c r="C13" s="5"/>
      <c r="D13" s="5"/>
      <c r="E13" s="76">
        <v>71790</v>
      </c>
      <c r="H13" s="196">
        <v>1.5</v>
      </c>
      <c r="I13" s="179" t="s">
        <v>128</v>
      </c>
      <c r="J13" s="180">
        <v>11000</v>
      </c>
      <c r="K13" s="181" t="s">
        <v>129</v>
      </c>
      <c r="L13" s="171"/>
    </row>
    <row r="14" spans="2:12">
      <c r="B14" s="5" t="s">
        <v>134</v>
      </c>
      <c r="C14" s="5"/>
      <c r="D14" s="5"/>
      <c r="E14" s="214">
        <v>0</v>
      </c>
      <c r="H14" s="182">
        <f>'2. Grassfed CloseOut'!D11</f>
        <v>500</v>
      </c>
      <c r="I14" s="183" t="s">
        <v>130</v>
      </c>
      <c r="J14" s="190">
        <f>IF(E6=0,0,J13/H14)</f>
        <v>22</v>
      </c>
      <c r="K14" s="184" t="s">
        <v>131</v>
      </c>
      <c r="L14" s="176"/>
    </row>
    <row r="15" spans="2:12">
      <c r="B15" s="206" t="s">
        <v>81</v>
      </c>
      <c r="C15" s="206"/>
      <c r="D15" s="206"/>
      <c r="E15" s="214">
        <v>0</v>
      </c>
      <c r="H15" s="185">
        <f>J15*E6</f>
        <v>681.81818181818187</v>
      </c>
      <c r="I15" s="186" t="s">
        <v>132</v>
      </c>
      <c r="J15" s="187">
        <f>IF(E6=0,0,J11/J14)</f>
        <v>6.8181818181818183</v>
      </c>
      <c r="K15" s="188" t="s">
        <v>133</v>
      </c>
      <c r="L15" s="189"/>
    </row>
    <row r="16" spans="2:12">
      <c r="B16" s="13" t="s">
        <v>139</v>
      </c>
      <c r="C16" s="13"/>
      <c r="D16" s="13"/>
      <c r="E16" s="215">
        <f>SUM(E13:E15)</f>
        <v>71790</v>
      </c>
      <c r="F16" s="134">
        <f>IF(E6=0,0,SUM(E13:E15)/'2. Grassfed CloseOut'!E10*100)</f>
        <v>143.57999999999998</v>
      </c>
      <c r="G16" t="s">
        <v>2</v>
      </c>
    </row>
    <row r="17" spans="2:7">
      <c r="B17" s="13" t="s">
        <v>72</v>
      </c>
      <c r="C17" s="13"/>
      <c r="D17" s="83" t="s">
        <v>155</v>
      </c>
      <c r="E17" s="215"/>
      <c r="F17" s="134"/>
    </row>
    <row r="18" spans="2:7">
      <c r="B18" s="206" t="s">
        <v>149</v>
      </c>
      <c r="C18" s="33">
        <v>0</v>
      </c>
      <c r="D18" s="213">
        <v>100</v>
      </c>
      <c r="E18" s="216">
        <f>C18*D18*0.01</f>
        <v>0</v>
      </c>
    </row>
    <row r="19" spans="2:7">
      <c r="B19" s="206" t="s">
        <v>149</v>
      </c>
      <c r="C19" s="33">
        <v>0</v>
      </c>
      <c r="D19" s="213">
        <v>100</v>
      </c>
      <c r="E19" s="216">
        <f t="shared" ref="E19:E34" si="0">C19*D19*0.01</f>
        <v>0</v>
      </c>
    </row>
    <row r="20" spans="2:7">
      <c r="B20" s="206" t="s">
        <v>149</v>
      </c>
      <c r="C20" s="33">
        <v>0</v>
      </c>
      <c r="D20" s="213">
        <v>100</v>
      </c>
      <c r="E20" s="216">
        <f t="shared" si="0"/>
        <v>0</v>
      </c>
    </row>
    <row r="21" spans="2:7">
      <c r="B21" s="206" t="s">
        <v>149</v>
      </c>
      <c r="C21" s="33">
        <v>0</v>
      </c>
      <c r="D21" s="213">
        <v>100</v>
      </c>
      <c r="E21" s="216">
        <f t="shared" si="0"/>
        <v>0</v>
      </c>
    </row>
    <row r="22" spans="2:7">
      <c r="B22" s="206" t="s">
        <v>93</v>
      </c>
      <c r="C22" s="33">
        <v>49026</v>
      </c>
      <c r="D22" s="213">
        <v>100</v>
      </c>
      <c r="E22" s="216">
        <f t="shared" si="0"/>
        <v>49026</v>
      </c>
    </row>
    <row r="23" spans="2:7">
      <c r="B23" s="206" t="s">
        <v>145</v>
      </c>
      <c r="C23" s="33">
        <v>6000</v>
      </c>
      <c r="D23" s="213">
        <v>100</v>
      </c>
      <c r="E23" s="216">
        <f t="shared" si="0"/>
        <v>6000</v>
      </c>
    </row>
    <row r="24" spans="2:7">
      <c r="B24" s="13" t="s">
        <v>160</v>
      </c>
      <c r="C24" s="65">
        <f>SUM(C18:C23)</f>
        <v>55026</v>
      </c>
      <c r="D24" s="13"/>
      <c r="E24" s="217">
        <f>SUM(E18:E23)</f>
        <v>55026</v>
      </c>
      <c r="F24" s="134">
        <f>IF(E24=0,0,E24/'2. Grassfed CloseOut'!D16)</f>
        <v>1.4821818181818183</v>
      </c>
      <c r="G24" s="5" t="s">
        <v>158</v>
      </c>
    </row>
    <row r="25" spans="2:7">
      <c r="B25" s="206" t="s">
        <v>150</v>
      </c>
      <c r="C25" s="33">
        <v>2000</v>
      </c>
      <c r="D25" s="213">
        <v>100</v>
      </c>
      <c r="E25" s="216">
        <f t="shared" si="0"/>
        <v>2000</v>
      </c>
      <c r="F25" s="79"/>
    </row>
    <row r="26" spans="2:7">
      <c r="B26" s="206" t="s">
        <v>81</v>
      </c>
      <c r="C26" s="33">
        <v>0</v>
      </c>
      <c r="D26" s="213">
        <v>100</v>
      </c>
      <c r="E26" s="216">
        <f t="shared" si="0"/>
        <v>0</v>
      </c>
      <c r="F26" s="79"/>
    </row>
    <row r="27" spans="2:7">
      <c r="B27" s="206" t="s">
        <v>81</v>
      </c>
      <c r="C27" s="33">
        <v>0</v>
      </c>
      <c r="D27" s="213">
        <v>100</v>
      </c>
      <c r="E27" s="216">
        <f t="shared" si="0"/>
        <v>0</v>
      </c>
      <c r="F27" s="79"/>
    </row>
    <row r="28" spans="2:7">
      <c r="B28" s="206" t="s">
        <v>81</v>
      </c>
      <c r="C28" s="33">
        <v>0</v>
      </c>
      <c r="D28" s="213">
        <v>100</v>
      </c>
      <c r="E28" s="216">
        <f t="shared" si="0"/>
        <v>0</v>
      </c>
      <c r="F28" s="79"/>
    </row>
    <row r="29" spans="2:7">
      <c r="B29" s="206" t="s">
        <v>81</v>
      </c>
      <c r="C29" s="33">
        <v>0</v>
      </c>
      <c r="D29" s="213">
        <v>100</v>
      </c>
      <c r="E29" s="216">
        <f t="shared" si="0"/>
        <v>0</v>
      </c>
      <c r="F29" s="79"/>
    </row>
    <row r="30" spans="2:7">
      <c r="B30" s="206" t="s">
        <v>81</v>
      </c>
      <c r="C30" s="33">
        <v>0</v>
      </c>
      <c r="D30" s="213">
        <v>100</v>
      </c>
      <c r="E30" s="216">
        <f t="shared" si="0"/>
        <v>0</v>
      </c>
      <c r="F30" s="79"/>
    </row>
    <row r="31" spans="2:7">
      <c r="B31" s="206" t="s">
        <v>81</v>
      </c>
      <c r="C31" s="33">
        <v>0</v>
      </c>
      <c r="D31" s="213">
        <v>100</v>
      </c>
      <c r="E31" s="216">
        <f t="shared" si="0"/>
        <v>0</v>
      </c>
      <c r="F31" s="79"/>
    </row>
    <row r="32" spans="2:7">
      <c r="B32" s="206" t="s">
        <v>81</v>
      </c>
      <c r="C32" s="33">
        <v>0</v>
      </c>
      <c r="D32" s="213">
        <v>100</v>
      </c>
      <c r="E32" s="216">
        <f t="shared" si="0"/>
        <v>0</v>
      </c>
      <c r="F32" s="79"/>
    </row>
    <row r="33" spans="2:9">
      <c r="B33" s="206" t="s">
        <v>81</v>
      </c>
      <c r="C33" s="33">
        <v>0</v>
      </c>
      <c r="D33" s="213">
        <v>100</v>
      </c>
      <c r="E33" s="216">
        <f t="shared" si="0"/>
        <v>0</v>
      </c>
      <c r="F33" s="79"/>
    </row>
    <row r="34" spans="2:9">
      <c r="B34" s="206" t="s">
        <v>81</v>
      </c>
      <c r="C34" s="33">
        <v>0</v>
      </c>
      <c r="D34" s="213">
        <v>100</v>
      </c>
      <c r="E34" s="216">
        <f t="shared" si="0"/>
        <v>0</v>
      </c>
      <c r="F34" s="79"/>
    </row>
    <row r="35" spans="2:9">
      <c r="B35" s="94" t="s">
        <v>157</v>
      </c>
      <c r="C35" s="202">
        <f>SUM(C25:C34)</f>
        <v>2000</v>
      </c>
      <c r="D35" s="94"/>
      <c r="E35" s="215">
        <f>SUM(E25:E34)</f>
        <v>2000</v>
      </c>
      <c r="F35" s="79"/>
    </row>
    <row r="36" spans="2:9">
      <c r="B36" s="94" t="s">
        <v>156</v>
      </c>
      <c r="C36" s="33"/>
      <c r="D36" s="94"/>
      <c r="E36" s="217">
        <f>E35+E24+E16</f>
        <v>128816</v>
      </c>
    </row>
    <row r="37" spans="2:9">
      <c r="B37" s="94" t="s">
        <v>144</v>
      </c>
      <c r="C37" s="33">
        <v>20000</v>
      </c>
      <c r="D37" s="213">
        <v>100</v>
      </c>
      <c r="E37" s="216">
        <f t="shared" ref="E37" si="1">C37*D37*0.01</f>
        <v>20000</v>
      </c>
      <c r="F37" s="134">
        <f>IF(E37=0,0,E37/'2. Grassfed CloseOut'!D16)</f>
        <v>0.53872053872053871</v>
      </c>
      <c r="G37" s="5" t="s">
        <v>158</v>
      </c>
      <c r="I37" s="141"/>
    </row>
    <row r="38" spans="2:9">
      <c r="B38" s="94" t="s">
        <v>151</v>
      </c>
      <c r="C38" s="33"/>
      <c r="D38" s="94"/>
      <c r="E38" s="218"/>
      <c r="F38" s="79"/>
      <c r="I38" s="141"/>
    </row>
    <row r="39" spans="2:9">
      <c r="B39" s="2" t="s">
        <v>17</v>
      </c>
      <c r="C39" s="33">
        <v>5634</v>
      </c>
      <c r="D39" s="213">
        <v>100</v>
      </c>
      <c r="E39" s="216">
        <f t="shared" ref="E39" si="2">C39*D39*0.01</f>
        <v>5634</v>
      </c>
      <c r="F39" s="134"/>
      <c r="H39" s="5" t="s">
        <v>108</v>
      </c>
    </row>
    <row r="40" spans="2:9">
      <c r="B40" s="13" t="s">
        <v>159</v>
      </c>
      <c r="C40" s="219">
        <f>(C39+C37+C35)</f>
        <v>27634</v>
      </c>
      <c r="D40" s="13"/>
      <c r="E40" s="219">
        <f>(E39+E37+E35)</f>
        <v>27634</v>
      </c>
      <c r="H40" s="5" t="s">
        <v>109</v>
      </c>
      <c r="I40" s="79">
        <f>E40</f>
        <v>27634</v>
      </c>
    </row>
    <row r="41" spans="2:9">
      <c r="C41" s="79"/>
      <c r="E41" s="220"/>
      <c r="F41" s="79"/>
    </row>
    <row r="42" spans="2:9">
      <c r="B42" s="13" t="s">
        <v>94</v>
      </c>
      <c r="C42" s="219"/>
      <c r="D42" s="13"/>
      <c r="E42" s="219">
        <f>E16+E24+E35+E37+E39</f>
        <v>154450</v>
      </c>
      <c r="F42" s="79"/>
      <c r="I42" s="5" t="s">
        <v>103</v>
      </c>
    </row>
    <row r="43" spans="2:9">
      <c r="E43" s="79"/>
      <c r="F43" s="79"/>
      <c r="H43" s="145">
        <f>IF(E6=0,0,'2. Grassfed CloseOut'!I54)</f>
        <v>103051.02739726027</v>
      </c>
      <c r="I43" s="5" t="s">
        <v>104</v>
      </c>
    </row>
    <row r="44" spans="2:9">
      <c r="B44" s="13" t="s">
        <v>161</v>
      </c>
      <c r="C44" s="13"/>
      <c r="D44" s="13"/>
      <c r="E44" s="78"/>
      <c r="H44" s="140">
        <f>IF(H43=0,0,E39/H43)</f>
        <v>5.4671944009650759E-2</v>
      </c>
      <c r="I44" t="s">
        <v>105</v>
      </c>
    </row>
    <row r="45" spans="2:9">
      <c r="B45" s="127" t="s">
        <v>101</v>
      </c>
      <c r="C45" s="127"/>
      <c r="D45" s="127"/>
      <c r="F45" s="140"/>
    </row>
    <row r="46" spans="2:9">
      <c r="B46" s="127" t="s">
        <v>107</v>
      </c>
      <c r="C46" s="127"/>
      <c r="D46" s="127"/>
    </row>
  </sheetData>
  <sheetProtection sheet="1" objects="1" scenarios="1"/>
  <mergeCells count="1">
    <mergeCell ref="B1:G1"/>
  </mergeCells>
  <phoneticPr fontId="11" type="noConversion"/>
  <printOptions gridLines="1"/>
  <pageMargins left="1" right="0.5" top="1" bottom="1" header="0.5" footer="0.5"/>
  <pageSetup scale="93" orientation="portrait" r:id="rId1"/>
  <headerFooter alignWithMargins="0"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0"/>
  <sheetViews>
    <sheetView topLeftCell="A52" zoomScaleNormal="100" workbookViewId="0">
      <selection activeCell="D66" sqref="D66"/>
    </sheetView>
  </sheetViews>
  <sheetFormatPr defaultRowHeight="15.5"/>
  <cols>
    <col min="1" max="1" width="4.3046875" customWidth="1"/>
    <col min="2" max="2" width="40.53515625" customWidth="1"/>
    <col min="3" max="3" width="15.69140625" customWidth="1"/>
    <col min="4" max="4" width="15.07421875" customWidth="1"/>
    <col min="5" max="5" width="10.07421875" bestFit="1" customWidth="1"/>
    <col min="6" max="6" width="11.3046875" customWidth="1"/>
    <col min="7" max="7" width="8.07421875" customWidth="1"/>
    <col min="8" max="8" width="10.69140625" bestFit="1" customWidth="1"/>
    <col min="9" max="9" width="15.3046875" customWidth="1"/>
    <col min="11" max="11" width="28.3828125" customWidth="1"/>
    <col min="12" max="12" width="14.84375" customWidth="1"/>
  </cols>
  <sheetData>
    <row r="1" spans="2:8" ht="18">
      <c r="B1" s="251" t="s">
        <v>191</v>
      </c>
      <c r="C1" s="251"/>
      <c r="D1" s="251"/>
      <c r="E1" s="251"/>
      <c r="F1" s="256"/>
      <c r="G1" s="256"/>
      <c r="H1" s="58"/>
    </row>
    <row r="2" spans="2:8" ht="18">
      <c r="B2" s="13" t="s">
        <v>146</v>
      </c>
      <c r="C2" s="13"/>
      <c r="F2" s="58"/>
      <c r="G2" s="58"/>
      <c r="H2" s="58"/>
    </row>
    <row r="3" spans="2:8" ht="18">
      <c r="B3" s="2" t="s">
        <v>0</v>
      </c>
      <c r="C3" s="3">
        <f ca="1">TODAY()</f>
        <v>42801</v>
      </c>
      <c r="F3" s="58"/>
      <c r="G3" s="58"/>
      <c r="H3" s="58"/>
    </row>
    <row r="4" spans="2:8" ht="18">
      <c r="B4" t="s">
        <v>143</v>
      </c>
      <c r="C4" s="136" t="str">
        <f>'1. Grassfed Financial Data '!E4</f>
        <v>Lot 1 Example</v>
      </c>
      <c r="D4" s="2" t="s">
        <v>15</v>
      </c>
      <c r="E4" s="133" t="s">
        <v>121</v>
      </c>
      <c r="F4" s="58"/>
      <c r="G4" s="58"/>
      <c r="H4" s="58"/>
    </row>
    <row r="5" spans="2:8" ht="18">
      <c r="B5" s="231" t="s">
        <v>179</v>
      </c>
      <c r="C5" s="136" t="str">
        <f>'1. Grassfed Financial Data '!E5</f>
        <v>Live Sale</v>
      </c>
      <c r="D5" s="5" t="s">
        <v>90</v>
      </c>
      <c r="E5" s="111">
        <v>100</v>
      </c>
      <c r="F5" s="235"/>
      <c r="G5" s="235"/>
      <c r="H5" s="235"/>
    </row>
    <row r="6" spans="2:8" ht="18">
      <c r="B6" s="231" t="s">
        <v>174</v>
      </c>
      <c r="C6" s="133" t="s">
        <v>122</v>
      </c>
      <c r="F6" s="58"/>
      <c r="G6" s="58"/>
      <c r="H6" s="58"/>
    </row>
    <row r="7" spans="2:8" ht="18">
      <c r="B7" s="2" t="s">
        <v>40</v>
      </c>
      <c r="C7" s="254" t="s">
        <v>123</v>
      </c>
      <c r="D7" s="255"/>
      <c r="F7" s="58"/>
      <c r="G7" s="58"/>
      <c r="H7" s="58"/>
    </row>
    <row r="8" spans="2:8" ht="18">
      <c r="B8" t="s">
        <v>91</v>
      </c>
      <c r="C8" s="135">
        <f>'1. Grassfed Financial Data '!E7</f>
        <v>42628</v>
      </c>
      <c r="D8" s="231" t="s">
        <v>197</v>
      </c>
      <c r="E8" s="133" t="s">
        <v>124</v>
      </c>
      <c r="F8" s="58"/>
      <c r="G8" s="58"/>
      <c r="H8" s="58"/>
    </row>
    <row r="9" spans="2:8" ht="18">
      <c r="B9" s="85" t="s">
        <v>169</v>
      </c>
      <c r="C9" s="254" t="s">
        <v>178</v>
      </c>
      <c r="D9" s="257"/>
      <c r="E9" s="258"/>
      <c r="F9" s="58"/>
      <c r="G9" s="58"/>
      <c r="H9" s="58"/>
    </row>
    <row r="10" spans="2:8" ht="18">
      <c r="B10" s="5" t="s">
        <v>92</v>
      </c>
      <c r="C10" s="138">
        <f>'1. Grassfed Financial Data '!E6</f>
        <v>100</v>
      </c>
      <c r="D10" s="2" t="s">
        <v>21</v>
      </c>
      <c r="E10" s="112">
        <v>50000</v>
      </c>
      <c r="F10" s="204">
        <f>E10/C10</f>
        <v>500</v>
      </c>
      <c r="G10" s="58"/>
      <c r="H10" s="58"/>
    </row>
    <row r="11" spans="2:8">
      <c r="B11" s="2" t="s">
        <v>38</v>
      </c>
      <c r="C11" s="1" t="s">
        <v>4</v>
      </c>
      <c r="D11" s="10">
        <f>E10/C10</f>
        <v>500</v>
      </c>
      <c r="E11" s="193" t="s">
        <v>136</v>
      </c>
      <c r="F11" t="s">
        <v>137</v>
      </c>
    </row>
    <row r="12" spans="2:8">
      <c r="B12" s="194" t="s">
        <v>138</v>
      </c>
      <c r="C12" s="17" t="s">
        <v>135</v>
      </c>
      <c r="D12" s="191">
        <v>0</v>
      </c>
      <c r="E12" s="192">
        <f>IF(D12=0,0,(1-(D12/E10)))</f>
        <v>0</v>
      </c>
      <c r="F12" s="42">
        <f>IF(D12=0,0,((E10-D12)/C10))</f>
        <v>0</v>
      </c>
    </row>
    <row r="13" spans="2:8" ht="18">
      <c r="B13" s="2" t="s">
        <v>55</v>
      </c>
      <c r="C13" s="1" t="s">
        <v>58</v>
      </c>
      <c r="D13" s="111">
        <v>400</v>
      </c>
      <c r="F13" s="58"/>
      <c r="G13" s="58"/>
      <c r="H13" s="58"/>
    </row>
    <row r="14" spans="2:8" ht="18">
      <c r="B14" s="2" t="s">
        <v>59</v>
      </c>
      <c r="C14" s="1" t="s">
        <v>56</v>
      </c>
      <c r="D14" s="80">
        <f>D13/C10</f>
        <v>4</v>
      </c>
      <c r="F14" s="58"/>
      <c r="G14" s="58"/>
      <c r="H14" s="58"/>
    </row>
    <row r="15" spans="2:8" ht="18">
      <c r="B15" t="s">
        <v>166</v>
      </c>
      <c r="C15" s="224" t="s">
        <v>167</v>
      </c>
      <c r="D15" s="10">
        <f>E10/D13</f>
        <v>125</v>
      </c>
      <c r="F15" s="58"/>
      <c r="G15" s="58"/>
      <c r="H15" s="58"/>
    </row>
    <row r="16" spans="2:8" ht="18">
      <c r="B16" t="s">
        <v>29</v>
      </c>
      <c r="C16" s="51" t="s">
        <v>39</v>
      </c>
      <c r="D16" s="113">
        <v>37125</v>
      </c>
      <c r="F16" s="58"/>
      <c r="G16" s="58"/>
    </row>
    <row r="17" spans="2:10" ht="18">
      <c r="B17" t="s">
        <v>168</v>
      </c>
      <c r="C17" s="51" t="s">
        <v>30</v>
      </c>
      <c r="D17" s="47">
        <f>D16/C21</f>
        <v>375</v>
      </c>
      <c r="F17" s="205"/>
      <c r="G17" s="58"/>
      <c r="H17" s="58"/>
    </row>
    <row r="18" spans="2:10" ht="18">
      <c r="B18" s="5" t="s">
        <v>87</v>
      </c>
      <c r="C18" s="114">
        <v>1</v>
      </c>
      <c r="D18" s="5" t="s">
        <v>89</v>
      </c>
      <c r="E18" s="114">
        <v>0</v>
      </c>
      <c r="F18" s="58"/>
      <c r="G18" s="58"/>
      <c r="H18" s="58"/>
    </row>
    <row r="19" spans="2:10" ht="18">
      <c r="B19" s="5" t="s">
        <v>88</v>
      </c>
      <c r="C19" s="130">
        <f>C18+E18</f>
        <v>1</v>
      </c>
      <c r="D19" s="131">
        <f>(C19/C10)</f>
        <v>0.01</v>
      </c>
      <c r="F19" s="58"/>
      <c r="G19" s="58"/>
      <c r="H19" s="58"/>
    </row>
    <row r="20" spans="2:10" ht="18">
      <c r="B20" t="s">
        <v>18</v>
      </c>
      <c r="C20" s="249">
        <v>43003</v>
      </c>
      <c r="D20" t="s">
        <v>19</v>
      </c>
      <c r="E20" s="254" t="s">
        <v>189</v>
      </c>
      <c r="F20" s="255"/>
      <c r="G20" s="58"/>
      <c r="H20" s="58"/>
    </row>
    <row r="21" spans="2:10" ht="18">
      <c r="B21" s="53" t="s">
        <v>33</v>
      </c>
      <c r="C21" s="115">
        <v>99</v>
      </c>
      <c r="D21" s="5" t="s">
        <v>75</v>
      </c>
      <c r="E21" s="113">
        <f>C21*1200</f>
        <v>118800</v>
      </c>
      <c r="F21" s="58"/>
      <c r="G21" s="58"/>
      <c r="H21" s="58"/>
    </row>
    <row r="22" spans="2:10" ht="18">
      <c r="B22" t="s">
        <v>23</v>
      </c>
      <c r="C22" s="114">
        <v>3</v>
      </c>
      <c r="D22" s="5" t="s">
        <v>76</v>
      </c>
      <c r="E22" s="42">
        <f>E21/C21</f>
        <v>1200</v>
      </c>
      <c r="F22" s="58"/>
      <c r="G22" s="58"/>
      <c r="H22" s="58"/>
    </row>
    <row r="23" spans="2:10" ht="18">
      <c r="B23" t="s">
        <v>60</v>
      </c>
      <c r="C23" s="47">
        <f>E23/D13</f>
        <v>172</v>
      </c>
      <c r="D23" s="5" t="s">
        <v>77</v>
      </c>
      <c r="E23" s="47">
        <f>E21-E10</f>
        <v>68800</v>
      </c>
      <c r="F23" s="58"/>
      <c r="G23" s="58"/>
      <c r="H23" s="58"/>
    </row>
    <row r="24" spans="2:10" ht="18">
      <c r="B24" s="85" t="s">
        <v>79</v>
      </c>
      <c r="C24" s="116">
        <f>E23/D16</f>
        <v>1.8531986531986533</v>
      </c>
      <c r="D24" t="s">
        <v>78</v>
      </c>
      <c r="E24" s="42">
        <f>E23/C21</f>
        <v>694.94949494949492</v>
      </c>
      <c r="F24" s="58"/>
      <c r="G24" s="58"/>
      <c r="H24" s="58"/>
    </row>
    <row r="25" spans="2:10">
      <c r="C25" s="4"/>
      <c r="D25" s="39"/>
      <c r="E25" s="46"/>
      <c r="F25" s="38"/>
      <c r="G25" s="40"/>
      <c r="H25" s="40"/>
      <c r="I25" s="38"/>
    </row>
    <row r="26" spans="2:10">
      <c r="B26" s="13" t="s">
        <v>41</v>
      </c>
      <c r="C26" t="str">
        <f>'1. Grassfed Financial Data '!E5</f>
        <v>Live Sale</v>
      </c>
      <c r="D26" s="102" t="s">
        <v>46</v>
      </c>
      <c r="E26" s="103" t="s">
        <v>98</v>
      </c>
      <c r="F26" s="102" t="s">
        <v>6</v>
      </c>
      <c r="H26" s="42"/>
      <c r="J26" s="9"/>
    </row>
    <row r="27" spans="2:10">
      <c r="B27" s="149" t="s">
        <v>47</v>
      </c>
      <c r="C27" s="156" t="s">
        <v>5</v>
      </c>
      <c r="D27" s="157">
        <f>F27/E21*100</f>
        <v>131.60606060606062</v>
      </c>
      <c r="E27" s="157">
        <f>F27/C21</f>
        <v>1579.2727272727273</v>
      </c>
      <c r="F27" s="158">
        <f>'1. Grassfed Financial Data '!E9+'1. Grassfed Financial Data '!E10</f>
        <v>156348</v>
      </c>
      <c r="H27" s="5" t="s">
        <v>185</v>
      </c>
      <c r="J27" s="9"/>
    </row>
    <row r="28" spans="2:10">
      <c r="B28" s="2"/>
      <c r="C28" s="1"/>
      <c r="H28" s="5"/>
    </row>
    <row r="29" spans="2:10">
      <c r="B29" s="13" t="s">
        <v>72</v>
      </c>
      <c r="C29" s="1"/>
      <c r="D29" s="7"/>
      <c r="G29" s="5" t="s">
        <v>83</v>
      </c>
      <c r="H29" s="5"/>
    </row>
    <row r="30" spans="2:10">
      <c r="B30" s="5" t="str">
        <f>'1. Grassfed Financial Data '!B13</f>
        <v>Payweight Cost of Stocker In</v>
      </c>
      <c r="C30" s="1"/>
      <c r="D30" s="6">
        <f>F30/$E$10*100</f>
        <v>143.57999999999998</v>
      </c>
      <c r="E30" s="44">
        <f>$D$11*D30*0.01</f>
        <v>717.89999999999986</v>
      </c>
      <c r="F30" s="37">
        <f>'1. Grassfed Financial Data '!E13</f>
        <v>71790</v>
      </c>
      <c r="G30" s="126">
        <f>IF(F30=0," ",F30/$F$62)</f>
        <v>0.4648106183230819</v>
      </c>
      <c r="H30" s="7"/>
    </row>
    <row r="31" spans="2:10">
      <c r="B31" s="5" t="s">
        <v>170</v>
      </c>
      <c r="C31" s="1"/>
      <c r="D31" s="6">
        <f>F31/$E$10*100</f>
        <v>0</v>
      </c>
      <c r="E31" s="44">
        <f>$D$11*D31*0.01</f>
        <v>0</v>
      </c>
      <c r="F31" s="35">
        <f>'1. Grassfed Financial Data '!E14</f>
        <v>0</v>
      </c>
      <c r="G31" s="126" t="str">
        <f>IF(F31=0," ",F31/$F$62)</f>
        <v xml:space="preserve"> </v>
      </c>
      <c r="H31" s="36">
        <f>F31/F30</f>
        <v>0</v>
      </c>
    </row>
    <row r="32" spans="2:10">
      <c r="B32" s="5" t="str">
        <f>'1. Grassfed Financial Data '!B15</f>
        <v>Other</v>
      </c>
      <c r="C32" s="1"/>
      <c r="D32" s="6">
        <f>F32/$E$10*100</f>
        <v>0</v>
      </c>
      <c r="E32" s="44">
        <f>$D$11*D32*0.01</f>
        <v>0</v>
      </c>
      <c r="F32" s="35">
        <f>'1. Grassfed Financial Data '!E15</f>
        <v>0</v>
      </c>
      <c r="G32" s="126" t="str">
        <f>IF(F32=0," ",F32/$F$62)</f>
        <v xml:space="preserve"> </v>
      </c>
      <c r="H32" s="5"/>
    </row>
    <row r="33" spans="2:10">
      <c r="B33" s="13" t="str">
        <f>'1. Grassfed Financial Data '!B16</f>
        <v>Subtotal Cattle Net Payweight Costs</v>
      </c>
      <c r="C33" s="1"/>
      <c r="D33" s="159">
        <f>SUM(D30:D32)</f>
        <v>143.57999999999998</v>
      </c>
      <c r="E33" s="160">
        <f>SUM(E30:E32)</f>
        <v>717.89999999999986</v>
      </c>
      <c r="F33" s="161">
        <f>F30+F31+F32</f>
        <v>71790</v>
      </c>
      <c r="G33" s="162">
        <f>F33/$F$62</f>
        <v>0.4648106183230819</v>
      </c>
      <c r="H33" s="5"/>
    </row>
    <row r="34" spans="2:10">
      <c r="B34" s="13" t="s">
        <v>72</v>
      </c>
      <c r="C34" s="14"/>
      <c r="D34" s="62" t="s">
        <v>141</v>
      </c>
      <c r="E34" s="45" t="s">
        <v>97</v>
      </c>
      <c r="F34" s="15"/>
      <c r="G34" s="68"/>
      <c r="H34" s="5"/>
    </row>
    <row r="35" spans="2:10">
      <c r="B35" s="5" t="str">
        <f>'1. Grassfed Financial Data '!B18</f>
        <v>Grazing Cost</v>
      </c>
      <c r="C35" s="24"/>
      <c r="D35" s="25"/>
      <c r="E35" s="60">
        <f t="shared" ref="E35:E51" si="0">F35/$C$10</f>
        <v>0</v>
      </c>
      <c r="F35" s="59">
        <f>'1. Grassfed Financial Data '!E18</f>
        <v>0</v>
      </c>
      <c r="G35" s="126" t="str">
        <f>IF(F35=0," ",F35/$F$62)</f>
        <v xml:space="preserve"> </v>
      </c>
      <c r="H35" s="5"/>
    </row>
    <row r="36" spans="2:10">
      <c r="B36" s="5" t="str">
        <f>'1. Grassfed Financial Data '!B19</f>
        <v>Grazing Cost</v>
      </c>
      <c r="C36" s="24"/>
      <c r="D36" s="25"/>
      <c r="E36" s="60">
        <f t="shared" si="0"/>
        <v>0</v>
      </c>
      <c r="F36" s="59">
        <f>'1. Grassfed Financial Data '!E19</f>
        <v>0</v>
      </c>
      <c r="G36" s="126" t="str">
        <f t="shared" ref="G36:G51" si="1">IF(F36=0," ",F36/$F$62)</f>
        <v xml:space="preserve"> </v>
      </c>
      <c r="H36" s="5"/>
    </row>
    <row r="37" spans="2:10">
      <c r="B37" s="5" t="str">
        <f>'1. Grassfed Financial Data '!B20</f>
        <v>Grazing Cost</v>
      </c>
      <c r="C37" s="24"/>
      <c r="D37" s="25"/>
      <c r="E37" s="60">
        <f t="shared" si="0"/>
        <v>0</v>
      </c>
      <c r="F37" s="59">
        <f>'1. Grassfed Financial Data '!E20</f>
        <v>0</v>
      </c>
      <c r="G37" s="126" t="str">
        <f t="shared" si="1"/>
        <v xml:space="preserve"> </v>
      </c>
      <c r="H37" s="20"/>
    </row>
    <row r="38" spans="2:10">
      <c r="B38" s="5" t="str">
        <f>'1. Grassfed Financial Data '!B21</f>
        <v>Grazing Cost</v>
      </c>
      <c r="C38" s="24"/>
      <c r="D38" s="25"/>
      <c r="E38" s="60">
        <f t="shared" si="0"/>
        <v>0</v>
      </c>
      <c r="F38" s="59">
        <f>'1. Grassfed Financial Data '!E21</f>
        <v>0</v>
      </c>
      <c r="G38" s="126" t="str">
        <f t="shared" si="1"/>
        <v xml:space="preserve"> </v>
      </c>
    </row>
    <row r="39" spans="2:10">
      <c r="B39" s="5" t="str">
        <f>'1. Grassfed Financial Data '!B22</f>
        <v>Grazing Lease Payment</v>
      </c>
      <c r="C39" s="24"/>
      <c r="D39" s="25"/>
      <c r="E39" s="60">
        <f t="shared" si="0"/>
        <v>490.26</v>
      </c>
      <c r="F39" s="59">
        <f>'1. Grassfed Financial Data '!E22</f>
        <v>49026</v>
      </c>
      <c r="G39" s="126">
        <f t="shared" si="1"/>
        <v>0.31742311427646486</v>
      </c>
      <c r="H39" s="66">
        <f>SUM(F35:F39)</f>
        <v>49026</v>
      </c>
      <c r="I39" s="23" t="s">
        <v>61</v>
      </c>
    </row>
    <row r="40" spans="2:10">
      <c r="B40" s="5" t="str">
        <f>'1. Grassfed Financial Data '!B23</f>
        <v>Stored Forages</v>
      </c>
      <c r="C40" s="24"/>
      <c r="D40" s="25"/>
      <c r="E40" s="60">
        <f t="shared" si="0"/>
        <v>60</v>
      </c>
      <c r="F40" s="59">
        <f>'1. Grassfed Financial Data '!E23</f>
        <v>6000</v>
      </c>
      <c r="G40" s="126">
        <f t="shared" si="1"/>
        <v>3.8847523470378766E-2</v>
      </c>
      <c r="H40" s="66"/>
      <c r="I40" s="23"/>
    </row>
    <row r="41" spans="2:10">
      <c r="B41" s="13" t="str">
        <f>'1. Grassfed Financial Data '!B24</f>
        <v xml:space="preserve">Sub-Total Grazing &amp; Stored Feed </v>
      </c>
      <c r="C41" s="208"/>
      <c r="D41" s="209"/>
      <c r="E41" s="210">
        <f t="shared" si="0"/>
        <v>550.26</v>
      </c>
      <c r="F41" s="211">
        <f>'1. Grassfed Financial Data '!E24</f>
        <v>55026</v>
      </c>
      <c r="G41" s="212">
        <f t="shared" si="1"/>
        <v>0.35627063774684364</v>
      </c>
      <c r="H41" s="66"/>
      <c r="I41" s="23"/>
    </row>
    <row r="42" spans="2:10">
      <c r="B42" s="5" t="str">
        <f>'1. Grassfed Financial Data '!B25</f>
        <v>Processing &amp; Vet Medicine</v>
      </c>
      <c r="C42" s="24"/>
      <c r="D42" s="25"/>
      <c r="E42" s="60">
        <f t="shared" si="0"/>
        <v>20</v>
      </c>
      <c r="F42" s="59">
        <f>'1. Grassfed Financial Data '!E25</f>
        <v>2000</v>
      </c>
      <c r="G42" s="126">
        <f t="shared" si="1"/>
        <v>1.2949174490126255E-2</v>
      </c>
      <c r="H42" s="20"/>
    </row>
    <row r="43" spans="2:10">
      <c r="B43" s="5" t="str">
        <f>'1. Grassfed Financial Data '!B26</f>
        <v>Other</v>
      </c>
      <c r="C43" s="24"/>
      <c r="D43" s="25"/>
      <c r="E43" s="60">
        <f t="shared" si="0"/>
        <v>0</v>
      </c>
      <c r="F43" s="59">
        <f>'1. Grassfed Financial Data '!E26</f>
        <v>0</v>
      </c>
      <c r="G43" s="126" t="str">
        <f t="shared" si="1"/>
        <v xml:space="preserve"> </v>
      </c>
      <c r="I43" s="121" t="s">
        <v>82</v>
      </c>
    </row>
    <row r="44" spans="2:10">
      <c r="B44" s="5" t="str">
        <f>'1. Grassfed Financial Data '!B27</f>
        <v>Other</v>
      </c>
      <c r="C44" s="24"/>
      <c r="D44" s="25"/>
      <c r="E44" s="60">
        <f t="shared" si="0"/>
        <v>0</v>
      </c>
      <c r="F44" s="59">
        <f>'1. Grassfed Financial Data '!E27</f>
        <v>0</v>
      </c>
      <c r="G44" s="126" t="str">
        <f t="shared" si="1"/>
        <v xml:space="preserve"> </v>
      </c>
      <c r="H44" s="20"/>
      <c r="I44" s="21"/>
    </row>
    <row r="45" spans="2:10">
      <c r="B45" s="5" t="str">
        <f>'1. Grassfed Financial Data '!B28</f>
        <v>Other</v>
      </c>
      <c r="C45" s="24"/>
      <c r="D45" s="25"/>
      <c r="E45" s="60">
        <f t="shared" si="0"/>
        <v>0</v>
      </c>
      <c r="F45" s="59">
        <f>'1. Grassfed Financial Data '!E28</f>
        <v>0</v>
      </c>
      <c r="G45" s="126" t="str">
        <f t="shared" si="1"/>
        <v xml:space="preserve"> </v>
      </c>
      <c r="H45" s="20"/>
      <c r="I45" s="21"/>
    </row>
    <row r="46" spans="2:10">
      <c r="B46" s="5" t="str">
        <f>'1. Grassfed Financial Data '!B29</f>
        <v>Other</v>
      </c>
      <c r="C46" s="24"/>
      <c r="D46" s="25"/>
      <c r="E46" s="60">
        <f t="shared" si="0"/>
        <v>0</v>
      </c>
      <c r="F46" s="59">
        <f>'1. Grassfed Financial Data '!E29</f>
        <v>0</v>
      </c>
      <c r="G46" s="126" t="str">
        <f t="shared" si="1"/>
        <v xml:space="preserve"> </v>
      </c>
      <c r="H46" s="20"/>
      <c r="I46" s="21"/>
    </row>
    <row r="47" spans="2:10">
      <c r="B47" s="5" t="str">
        <f>'1. Grassfed Financial Data '!B30</f>
        <v>Other</v>
      </c>
      <c r="C47" s="24"/>
      <c r="D47" s="25"/>
      <c r="E47" s="60">
        <f t="shared" si="0"/>
        <v>0</v>
      </c>
      <c r="F47" s="59">
        <f>'1. Grassfed Financial Data '!E30</f>
        <v>0</v>
      </c>
      <c r="G47" s="126" t="str">
        <f t="shared" si="1"/>
        <v xml:space="preserve"> </v>
      </c>
      <c r="H47" s="20"/>
    </row>
    <row r="48" spans="2:10">
      <c r="B48" s="5" t="str">
        <f>'1. Grassfed Financial Data '!B31</f>
        <v>Other</v>
      </c>
      <c r="C48" s="24"/>
      <c r="D48" s="25"/>
      <c r="E48" s="60">
        <f t="shared" si="0"/>
        <v>0</v>
      </c>
      <c r="F48" s="59">
        <f>'1. Grassfed Financial Data '!E31</f>
        <v>0</v>
      </c>
      <c r="G48" s="126" t="str">
        <f t="shared" si="1"/>
        <v xml:space="preserve"> </v>
      </c>
      <c r="H48" s="20"/>
      <c r="I48" s="203">
        <f>C20-C8</f>
        <v>375</v>
      </c>
      <c r="J48" s="5" t="s">
        <v>140</v>
      </c>
    </row>
    <row r="49" spans="2:10">
      <c r="B49" s="5" t="str">
        <f>'1. Grassfed Financial Data '!B32</f>
        <v>Other</v>
      </c>
      <c r="C49" s="24"/>
      <c r="D49" s="25"/>
      <c r="E49" s="60">
        <f t="shared" si="0"/>
        <v>0</v>
      </c>
      <c r="F49" s="59">
        <f>'1. Grassfed Financial Data '!E32</f>
        <v>0</v>
      </c>
      <c r="G49" s="126" t="str">
        <f t="shared" si="1"/>
        <v xml:space="preserve"> </v>
      </c>
      <c r="H49" s="20"/>
      <c r="I49" s="21"/>
      <c r="J49" t="s">
        <v>99</v>
      </c>
    </row>
    <row r="50" spans="2:10">
      <c r="B50" s="5" t="str">
        <f>'1. Grassfed Financial Data '!B33</f>
        <v>Other</v>
      </c>
      <c r="C50" s="24"/>
      <c r="D50" s="25"/>
      <c r="E50" s="60">
        <f t="shared" si="0"/>
        <v>0</v>
      </c>
      <c r="F50" s="59">
        <f>'1. Grassfed Financial Data '!E33</f>
        <v>0</v>
      </c>
      <c r="G50" s="126" t="str">
        <f t="shared" si="1"/>
        <v xml:space="preserve"> </v>
      </c>
      <c r="H50" s="20"/>
      <c r="I50" s="7">
        <f>((F53+F56)*0.5)*(I48/365)</f>
        <v>29294.178082191786</v>
      </c>
      <c r="J50" t="s">
        <v>7</v>
      </c>
    </row>
    <row r="51" spans="2:10">
      <c r="B51" s="5" t="str">
        <f>'1. Grassfed Financial Data '!B34</f>
        <v>Other</v>
      </c>
      <c r="C51" s="24"/>
      <c r="D51" s="25"/>
      <c r="E51" s="60">
        <f t="shared" si="0"/>
        <v>0</v>
      </c>
      <c r="F51" s="59">
        <f>'1. Grassfed Financial Data '!E34</f>
        <v>0</v>
      </c>
      <c r="G51" s="126" t="str">
        <f t="shared" si="1"/>
        <v xml:space="preserve"> </v>
      </c>
      <c r="H51" s="20"/>
      <c r="I51" s="22">
        <f>(F33)*((I48/365))</f>
        <v>73756.849315068495</v>
      </c>
      <c r="J51" t="s">
        <v>8</v>
      </c>
    </row>
    <row r="52" spans="2:10">
      <c r="B52" s="96" t="s">
        <v>80</v>
      </c>
      <c r="C52" s="117"/>
      <c r="D52" s="118"/>
      <c r="E52" s="119"/>
      <c r="F52" s="99">
        <f>F33+F41+SUM(F42:F51)</f>
        <v>128816</v>
      </c>
      <c r="G52" s="124">
        <f>F52/$F$62</f>
        <v>0.83403043056005177</v>
      </c>
      <c r="H52" s="20"/>
      <c r="I52" s="22"/>
    </row>
    <row r="53" spans="2:10">
      <c r="B53" s="48" t="s">
        <v>154</v>
      </c>
      <c r="C53" s="24"/>
      <c r="D53" s="25"/>
      <c r="E53" s="61"/>
      <c r="F53" s="20">
        <f>F52-F33</f>
        <v>57026</v>
      </c>
      <c r="G53" s="123">
        <f>F53/$F$62</f>
        <v>0.36921981223696987</v>
      </c>
      <c r="H53" s="20"/>
      <c r="I53" s="22"/>
    </row>
    <row r="54" spans="2:10">
      <c r="B54" s="94"/>
      <c r="C54" s="24"/>
      <c r="D54" s="102" t="s">
        <v>46</v>
      </c>
      <c r="E54" s="103" t="s">
        <v>65</v>
      </c>
      <c r="F54" s="102" t="s">
        <v>6</v>
      </c>
      <c r="G54" s="20"/>
      <c r="H54" s="20"/>
      <c r="I54" s="122">
        <f>(I50+I51)</f>
        <v>103051.02739726027</v>
      </c>
      <c r="J54" t="s">
        <v>120</v>
      </c>
    </row>
    <row r="55" spans="2:10">
      <c r="B55" s="155" t="s">
        <v>148</v>
      </c>
      <c r="C55" s="5"/>
      <c r="D55" s="104">
        <f>F55/$E$21*100</f>
        <v>16.835016835016837</v>
      </c>
      <c r="E55" s="129">
        <f>F55/$C$10</f>
        <v>200</v>
      </c>
      <c r="F55" s="49">
        <f>'1. Grassfed Financial Data '!E37</f>
        <v>20000</v>
      </c>
      <c r="G55" s="154">
        <f>IF(F55=0," ",F55/$F$62)</f>
        <v>0.12949174490126256</v>
      </c>
      <c r="H55" s="15"/>
    </row>
    <row r="57" spans="2:10">
      <c r="B57" s="101"/>
      <c r="E57" s="13" t="s">
        <v>74</v>
      </c>
      <c r="G57" s="20"/>
      <c r="H57" s="15"/>
    </row>
    <row r="58" spans="2:10">
      <c r="B58" s="95" t="s">
        <v>32</v>
      </c>
      <c r="C58" s="95"/>
      <c r="D58" s="100">
        <f>F58/$E$21*100</f>
        <v>125.26599326599326</v>
      </c>
      <c r="E58" s="99">
        <f>F58/C21</f>
        <v>1503.1919191919192</v>
      </c>
      <c r="F58" s="99">
        <f>F52+F55</f>
        <v>148816</v>
      </c>
      <c r="G58" s="125">
        <f>F58/$F$62</f>
        <v>0.96352217546131436</v>
      </c>
      <c r="H58" s="15"/>
    </row>
    <row r="59" spans="2:10">
      <c r="C59" s="2"/>
      <c r="D59" s="5"/>
      <c r="E59" s="7"/>
      <c r="F59" s="5"/>
      <c r="G59" s="20"/>
      <c r="H59" s="15"/>
    </row>
    <row r="60" spans="2:10">
      <c r="B60" s="149" t="s">
        <v>43</v>
      </c>
      <c r="C60" s="150"/>
      <c r="D60" s="151">
        <f>F60/$E$21*100</f>
        <v>4.7424242424242422</v>
      </c>
      <c r="E60" s="152">
        <f>(F60/$C$21)</f>
        <v>56.909090909090907</v>
      </c>
      <c r="F60" s="153">
        <f>'1. Grassfed Financial Data '!E39</f>
        <v>5634</v>
      </c>
      <c r="G60" s="154">
        <f>IF(F60=0," ",F60/$F$62)</f>
        <v>3.6477824538685658E-2</v>
      </c>
      <c r="I60" s="127" t="s">
        <v>101</v>
      </c>
    </row>
    <row r="61" spans="2:10">
      <c r="H61" s="15"/>
      <c r="I61" s="127" t="s">
        <v>107</v>
      </c>
    </row>
    <row r="62" spans="2:10">
      <c r="B62" s="95" t="s">
        <v>70</v>
      </c>
      <c r="C62" s="105"/>
      <c r="D62" s="100">
        <f>F62/$E$21*100</f>
        <v>130.00841750841752</v>
      </c>
      <c r="E62" s="86">
        <f>(F62/$C$21)</f>
        <v>1560.1010101010102</v>
      </c>
      <c r="F62" s="106">
        <f>F58+F60</f>
        <v>154450</v>
      </c>
      <c r="G62" s="123">
        <f>F62/$F$62</f>
        <v>1</v>
      </c>
      <c r="H62" s="15"/>
    </row>
    <row r="63" spans="2:10">
      <c r="B63" s="13"/>
      <c r="C63" s="67"/>
      <c r="H63" s="15"/>
    </row>
    <row r="64" spans="2:10">
      <c r="B64" s="97" t="s">
        <v>119</v>
      </c>
      <c r="C64" s="98"/>
      <c r="D64" s="84">
        <f>F64/$E$21*100</f>
        <v>1.5976430976430978</v>
      </c>
      <c r="E64" s="84">
        <f>(F64/$C$21)</f>
        <v>19.171717171717173</v>
      </c>
      <c r="F64" s="221">
        <f>F27-F62</f>
        <v>1898</v>
      </c>
      <c r="G64" s="5"/>
      <c r="H64" s="15"/>
    </row>
    <row r="65" spans="2:13">
      <c r="B65" s="43"/>
      <c r="C65" s="2"/>
      <c r="D65" s="2"/>
      <c r="E65" s="14"/>
      <c r="F65" s="19"/>
      <c r="G65" s="20"/>
      <c r="H65" s="63"/>
    </row>
    <row r="66" spans="2:13">
      <c r="B66" s="95" t="s">
        <v>196</v>
      </c>
      <c r="C66" s="108"/>
      <c r="D66" s="250">
        <f>I54</f>
        <v>103051.02739726027</v>
      </c>
      <c r="E66" s="109"/>
      <c r="F66" s="110">
        <f>(F64+F60)/D66</f>
        <v>7.3090003954683971E-2</v>
      </c>
      <c r="G66" s="18"/>
      <c r="H66" s="63"/>
    </row>
    <row r="67" spans="2:13">
      <c r="B67" s="197"/>
      <c r="C67" s="198"/>
      <c r="D67" s="199"/>
      <c r="E67" s="40"/>
      <c r="F67" s="200"/>
      <c r="G67" s="201"/>
      <c r="H67" s="63"/>
    </row>
    <row r="68" spans="2:13">
      <c r="B68" s="43"/>
      <c r="C68" s="2"/>
      <c r="D68" s="2"/>
      <c r="G68" s="20"/>
      <c r="H68" s="15"/>
    </row>
    <row r="69" spans="2:13">
      <c r="B69" s="43" t="s">
        <v>118</v>
      </c>
      <c r="C69" s="2"/>
      <c r="D69" s="2"/>
      <c r="F69" s="13" t="s">
        <v>187</v>
      </c>
      <c r="G69" s="20"/>
      <c r="H69" s="15"/>
    </row>
    <row r="70" spans="2:13">
      <c r="B70" s="5" t="s">
        <v>9</v>
      </c>
      <c r="C70" s="1"/>
      <c r="D70" s="2"/>
      <c r="E70" s="17" t="s">
        <v>1</v>
      </c>
      <c r="F70" s="82">
        <f>L77</f>
        <v>-60.474441383532131</v>
      </c>
      <c r="H70" s="15"/>
    </row>
    <row r="71" spans="2:13">
      <c r="B71" s="5" t="s">
        <v>100</v>
      </c>
      <c r="C71" s="5"/>
      <c r="D71" s="5"/>
      <c r="E71" s="17" t="s">
        <v>1</v>
      </c>
      <c r="F71" s="82">
        <f>L78</f>
        <v>79.646158555249514</v>
      </c>
      <c r="G71" s="27"/>
      <c r="H71" s="15"/>
    </row>
    <row r="72" spans="2:13">
      <c r="B72" s="13" t="s">
        <v>22</v>
      </c>
      <c r="C72" s="5"/>
      <c r="D72" s="5"/>
      <c r="E72" s="14" t="s">
        <v>1</v>
      </c>
      <c r="F72" s="81">
        <f>L79</f>
        <v>19.171717171717383</v>
      </c>
      <c r="G72" s="27"/>
      <c r="H72" s="15"/>
    </row>
    <row r="73" spans="2:13">
      <c r="B73" s="5"/>
      <c r="C73" s="41"/>
      <c r="D73" s="26" t="s">
        <v>84</v>
      </c>
    </row>
    <row r="74" spans="2:13">
      <c r="B74" s="13" t="s">
        <v>48</v>
      </c>
      <c r="C74" s="28">
        <f>F33/C21</f>
        <v>725.15151515151513</v>
      </c>
      <c r="D74" s="68">
        <f>C74/$C$79</f>
        <v>0.46481061832308185</v>
      </c>
      <c r="E74" s="51" t="s">
        <v>25</v>
      </c>
    </row>
    <row r="75" spans="2:13">
      <c r="B75" s="2"/>
      <c r="C75" s="28"/>
      <c r="D75" s="68"/>
      <c r="E75" s="51"/>
    </row>
    <row r="76" spans="2:13">
      <c r="B76" s="5" t="s">
        <v>24</v>
      </c>
      <c r="C76" s="28">
        <f>H39/C21</f>
        <v>495.21212121212119</v>
      </c>
      <c r="D76" s="68">
        <f>C76/$C$79</f>
        <v>0.31742311427646486</v>
      </c>
      <c r="E76" s="44">
        <f>C76/$E$24</f>
        <v>0.71258720930232555</v>
      </c>
      <c r="K76" s="5"/>
      <c r="L76" s="17" t="s">
        <v>1</v>
      </c>
    </row>
    <row r="77" spans="2:13">
      <c r="B77" s="5" t="s">
        <v>49</v>
      </c>
      <c r="C77" s="28">
        <f>(F62-H39-F33)/C21</f>
        <v>339.73737373737373</v>
      </c>
      <c r="D77" s="68">
        <f>C77/$C$79</f>
        <v>0.21776626740045321</v>
      </c>
      <c r="E77" s="44">
        <f>C77/$E$24</f>
        <v>0.48886627906976743</v>
      </c>
      <c r="K77" t="s">
        <v>9</v>
      </c>
      <c r="L77" s="30">
        <f>((C10*D11*0.01)*(D27-D33)/C21)</f>
        <v>-60.474441383532131</v>
      </c>
    </row>
    <row r="78" spans="2:13">
      <c r="B78" s="13" t="s">
        <v>27</v>
      </c>
      <c r="C78" s="12">
        <f>C76+C77</f>
        <v>834.94949494949492</v>
      </c>
      <c r="D78" s="68">
        <f>C78/$C$79</f>
        <v>0.5351893816769181</v>
      </c>
      <c r="E78" s="45">
        <f>C78/$E$24</f>
        <v>1.2014534883720931</v>
      </c>
      <c r="H78" s="28"/>
      <c r="K78" t="s">
        <v>11</v>
      </c>
      <c r="L78" s="28">
        <f>((D27-L84)*L83*0.01)/C21</f>
        <v>79.646158555249514</v>
      </c>
      <c r="M78" s="28"/>
    </row>
    <row r="79" spans="2:13">
      <c r="B79" s="13" t="s">
        <v>163</v>
      </c>
      <c r="C79" s="12">
        <f>C74+C78</f>
        <v>1560.1010101010102</v>
      </c>
      <c r="E79" s="45"/>
      <c r="G79" s="42"/>
      <c r="H79" s="12"/>
      <c r="I79" s="13"/>
      <c r="K79" s="13" t="s">
        <v>10</v>
      </c>
      <c r="L79" s="12">
        <f>(L77+L78)</f>
        <v>19.171717171717383</v>
      </c>
    </row>
    <row r="80" spans="2:13">
      <c r="B80" s="13"/>
      <c r="D80" s="45"/>
    </row>
    <row r="81" spans="2:15">
      <c r="B81" s="95" t="s">
        <v>86</v>
      </c>
      <c r="C81" s="86"/>
      <c r="D81" s="86"/>
      <c r="E81" s="100">
        <f>(F27-F33)/E23</f>
        <v>1.2290406976744186</v>
      </c>
      <c r="J81" s="146"/>
      <c r="K81" t="s">
        <v>12</v>
      </c>
      <c r="L81" s="9">
        <f>F33</f>
        <v>71790</v>
      </c>
    </row>
    <row r="82" spans="2:15">
      <c r="B82" s="127" t="s">
        <v>85</v>
      </c>
      <c r="J82" s="223"/>
      <c r="K82" t="s">
        <v>13</v>
      </c>
      <c r="L82" s="9">
        <f>F27</f>
        <v>156348</v>
      </c>
    </row>
    <row r="83" spans="2:15">
      <c r="B83" s="5"/>
      <c r="C83" s="102" t="s">
        <v>46</v>
      </c>
      <c r="E83" s="14" t="s">
        <v>51</v>
      </c>
      <c r="F83" s="14" t="s">
        <v>50</v>
      </c>
      <c r="J83" s="146"/>
      <c r="K83" t="s">
        <v>14</v>
      </c>
      <c r="L83" s="9">
        <f>E23</f>
        <v>68800</v>
      </c>
    </row>
    <row r="84" spans="2:15">
      <c r="B84" s="13" t="s">
        <v>45</v>
      </c>
      <c r="C84" s="45">
        <f>D27-D33</f>
        <v>-11.973939393939361</v>
      </c>
      <c r="E84" s="32">
        <f>D33</f>
        <v>143.57999999999998</v>
      </c>
      <c r="F84" s="28">
        <f>D27</f>
        <v>131.60606060606062</v>
      </c>
      <c r="H84" s="32"/>
      <c r="K84" s="5" t="s">
        <v>73</v>
      </c>
      <c r="L84" s="107">
        <f>((F53+F55+F60)/E23)*100</f>
        <v>120.14534883720931</v>
      </c>
    </row>
    <row r="85" spans="2:15">
      <c r="B85" s="13"/>
      <c r="C85" s="45"/>
      <c r="E85" s="32"/>
      <c r="F85" s="28"/>
      <c r="H85" s="32"/>
      <c r="J85" s="146"/>
    </row>
    <row r="86" spans="2:15">
      <c r="B86" s="5" t="s">
        <v>106</v>
      </c>
      <c r="E86" s="16"/>
      <c r="F86" s="29"/>
    </row>
    <row r="87" spans="2:15">
      <c r="J87" s="146"/>
    </row>
    <row r="88" spans="2:15">
      <c r="J88" t="s">
        <v>113</v>
      </c>
    </row>
    <row r="89" spans="2:15">
      <c r="J89" t="s">
        <v>110</v>
      </c>
      <c r="K89" t="s">
        <v>111</v>
      </c>
      <c r="L89" t="s">
        <v>112</v>
      </c>
      <c r="M89" t="s">
        <v>10</v>
      </c>
    </row>
    <row r="90" spans="2:15">
      <c r="H90" s="31"/>
      <c r="I90" t="s">
        <v>1</v>
      </c>
      <c r="J90" s="147">
        <f>E27</f>
        <v>1579.2727272727273</v>
      </c>
      <c r="K90" s="147">
        <f>F33/C21</f>
        <v>725.15151515151513</v>
      </c>
      <c r="L90" s="147">
        <f>C78</f>
        <v>834.94949494949492</v>
      </c>
      <c r="M90" s="147">
        <f>L79</f>
        <v>19.171717171717383</v>
      </c>
      <c r="N90" s="146"/>
      <c r="O90" s="28"/>
    </row>
    <row r="91" spans="2:15">
      <c r="J91" t="s">
        <v>114</v>
      </c>
    </row>
    <row r="92" spans="2:15">
      <c r="J92" t="s">
        <v>115</v>
      </c>
      <c r="K92" t="s">
        <v>116</v>
      </c>
      <c r="L92" t="s">
        <v>117</v>
      </c>
      <c r="M92" t="s">
        <v>10</v>
      </c>
    </row>
    <row r="93" spans="2:15">
      <c r="I93" t="s">
        <v>1</v>
      </c>
      <c r="J93" s="147">
        <f>K90</f>
        <v>725.15151515151513</v>
      </c>
      <c r="K93" s="147">
        <f>E58</f>
        <v>1503.1919191919192</v>
      </c>
      <c r="L93" s="148">
        <f>E60</f>
        <v>56.909090909090907</v>
      </c>
      <c r="M93" s="147">
        <f>E64</f>
        <v>19.171717171717173</v>
      </c>
    </row>
    <row r="100" spans="4:12">
      <c r="J100" s="5" t="s">
        <v>9</v>
      </c>
      <c r="K100" s="5" t="s">
        <v>100</v>
      </c>
      <c r="L100" s="5" t="s">
        <v>164</v>
      </c>
    </row>
    <row r="101" spans="4:12">
      <c r="I101" s="142" t="s">
        <v>102</v>
      </c>
      <c r="J101" s="30">
        <f>'3. Grassfed Closeout Summary'!D42</f>
        <v>-60.474441383532131</v>
      </c>
      <c r="K101" s="30">
        <f>'3. Grassfed Closeout Summary'!D43</f>
        <v>79.646158555249514</v>
      </c>
      <c r="L101" s="30">
        <f>'3. Grassfed Closeout Summary'!D44</f>
        <v>19.171717171717383</v>
      </c>
    </row>
    <row r="107" spans="4:12">
      <c r="D107" s="57"/>
      <c r="E107" s="71"/>
    </row>
    <row r="113" spans="6:7">
      <c r="F113" s="28"/>
      <c r="G113" s="32"/>
    </row>
    <row r="114" spans="6:7">
      <c r="F114" s="28"/>
      <c r="G114" s="32"/>
    </row>
    <row r="115" spans="6:7">
      <c r="F115" s="28"/>
      <c r="G115" s="32"/>
    </row>
    <row r="135" spans="3:4">
      <c r="C135" s="52"/>
    </row>
    <row r="137" spans="3:4">
      <c r="D137" s="51"/>
    </row>
    <row r="138" spans="3:4">
      <c r="D138" s="51"/>
    </row>
    <row r="139" spans="3:4">
      <c r="D139" s="51"/>
    </row>
    <row r="140" spans="3:4">
      <c r="D140" s="51"/>
    </row>
  </sheetData>
  <sheetProtection sheet="1" objects="1" scenarios="1"/>
  <mergeCells count="4">
    <mergeCell ref="C7:D7"/>
    <mergeCell ref="E20:F20"/>
    <mergeCell ref="B1:G1"/>
    <mergeCell ref="C9:E9"/>
  </mergeCells>
  <phoneticPr fontId="0" type="noConversion"/>
  <pageMargins left="1" right="0.5" top="1" bottom="1" header="0.5" footer="0.5"/>
  <pageSetup scale="59" orientation="portrait" r:id="rId1"/>
  <headerFooter alignWithMargins="0">
    <oddFooter>&amp;L&amp;F&amp;RPage&amp;P of &amp;N
&amp;A</oddFooter>
  </headerFooter>
  <rowBreaks count="1" manualBreakCount="1">
    <brk id="67" min="1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6"/>
  <sheetViews>
    <sheetView tabSelected="1" zoomScaleNormal="100" workbookViewId="0">
      <selection activeCell="A13" sqref="A13"/>
    </sheetView>
  </sheetViews>
  <sheetFormatPr defaultRowHeight="15.5"/>
  <cols>
    <col min="1" max="1" width="3.765625" customWidth="1"/>
    <col min="2" max="2" width="34.69140625" customWidth="1"/>
    <col min="3" max="3" width="12" customWidth="1"/>
    <col min="4" max="4" width="12.4609375" customWidth="1"/>
    <col min="5" max="5" width="10.53515625" customWidth="1"/>
    <col min="6" max="6" width="16.84375" customWidth="1"/>
    <col min="7" max="7" width="11.07421875" customWidth="1"/>
    <col min="8" max="8" width="10.84375" customWidth="1"/>
  </cols>
  <sheetData>
    <row r="1" spans="2:9">
      <c r="B1" s="262" t="s">
        <v>195</v>
      </c>
      <c r="C1" s="263"/>
      <c r="D1" s="263"/>
      <c r="E1" s="264"/>
    </row>
    <row r="2" spans="2:9">
      <c r="B2" s="53" t="s">
        <v>0</v>
      </c>
      <c r="C2" s="8">
        <f ca="1">'2. Grassfed CloseOut'!C3</f>
        <v>42801</v>
      </c>
    </row>
    <row r="3" spans="2:9">
      <c r="B3" s="5" t="s">
        <v>165</v>
      </c>
      <c r="C3" s="69" t="str">
        <f>'2. Grassfed CloseOut'!C4</f>
        <v>Lot 1 Example</v>
      </c>
      <c r="G3" s="2"/>
      <c r="H3" s="1"/>
      <c r="I3" s="75"/>
    </row>
    <row r="4" spans="2:9">
      <c r="B4" s="231" t="s">
        <v>179</v>
      </c>
      <c r="C4" s="69" t="str">
        <f>'1. Grassfed Financial Data '!E5</f>
        <v>Live Sale</v>
      </c>
      <c r="G4" s="2"/>
      <c r="H4" s="1"/>
      <c r="I4" s="75"/>
    </row>
    <row r="5" spans="2:9">
      <c r="B5" s="231" t="s">
        <v>174</v>
      </c>
      <c r="C5" s="259" t="str">
        <f>'2. Grassfed CloseOut'!C6</f>
        <v>Retained</v>
      </c>
      <c r="D5" s="253"/>
      <c r="H5" s="51"/>
      <c r="I5" s="75"/>
    </row>
    <row r="6" spans="2:9">
      <c r="B6" s="2" t="s">
        <v>40</v>
      </c>
      <c r="C6" s="260" t="str">
        <f>'2. Grassfed CloseOut'!C7</f>
        <v>Weaned off the cow</v>
      </c>
      <c r="D6" s="261"/>
      <c r="H6" s="57"/>
      <c r="I6" s="72"/>
    </row>
    <row r="7" spans="2:9">
      <c r="B7" s="85" t="str">
        <f>'2. Grassfed CloseOut'!B9</f>
        <v>Production System</v>
      </c>
      <c r="C7" s="265" t="str">
        <f>'2. Grassfed CloseOut'!C9</f>
        <v>Winter wheat &amp; native pasture</v>
      </c>
      <c r="D7" s="261"/>
      <c r="E7" s="261"/>
      <c r="H7" s="57"/>
      <c r="I7" s="72"/>
    </row>
    <row r="8" spans="2:9">
      <c r="B8" s="5" t="s">
        <v>192</v>
      </c>
      <c r="C8" s="70">
        <f>'2. Grassfed CloseOut'!C8</f>
        <v>42628</v>
      </c>
      <c r="D8" s="91">
        <f>'2. Grassfed CloseOut'!C20</f>
        <v>43003</v>
      </c>
      <c r="H8" s="57"/>
      <c r="I8" s="73"/>
    </row>
    <row r="9" spans="2:9">
      <c r="B9" s="5" t="s">
        <v>193</v>
      </c>
      <c r="C9" s="70" t="str">
        <f>'2. Grassfed CloseOut'!E4</f>
        <v>Angus</v>
      </c>
      <c r="D9" s="143">
        <f>'2. Grassfed CloseOut'!E5*0.01</f>
        <v>1</v>
      </c>
    </row>
    <row r="10" spans="2:9">
      <c r="B10" s="2" t="s">
        <v>16</v>
      </c>
      <c r="C10" s="144" t="str">
        <f>'2. Grassfed CloseOut'!E8</f>
        <v>Steers</v>
      </c>
    </row>
    <row r="11" spans="2:9">
      <c r="B11" t="s">
        <v>71</v>
      </c>
      <c r="C11" s="51" t="s">
        <v>28</v>
      </c>
      <c r="D11" s="163">
        <f>'2. Grassfed CloseOut'!C10</f>
        <v>100</v>
      </c>
    </row>
    <row r="12" spans="2:9">
      <c r="B12" s="13" t="s">
        <v>68</v>
      </c>
    </row>
    <row r="13" spans="2:9">
      <c r="B13" s="2" t="s">
        <v>38</v>
      </c>
      <c r="C13" s="1" t="s">
        <v>4</v>
      </c>
      <c r="D13" s="88">
        <f>'2. Grassfed CloseOut'!D11</f>
        <v>500</v>
      </c>
      <c r="F13" s="195"/>
      <c r="G13" s="5"/>
    </row>
    <row r="14" spans="2:9">
      <c r="B14" s="2" t="s">
        <v>55</v>
      </c>
      <c r="C14" s="1" t="s">
        <v>58</v>
      </c>
      <c r="D14" s="88">
        <f>'2. Grassfed CloseOut'!D13</f>
        <v>400</v>
      </c>
    </row>
    <row r="15" spans="2:9">
      <c r="B15" s="2" t="s">
        <v>62</v>
      </c>
      <c r="C15" s="51" t="s">
        <v>56</v>
      </c>
      <c r="D15" s="89">
        <f>'2. Grassfed CloseOut'!D14</f>
        <v>4</v>
      </c>
    </row>
    <row r="16" spans="2:9">
      <c r="B16" s="2" t="s">
        <v>63</v>
      </c>
      <c r="C16" s="1" t="s">
        <v>57</v>
      </c>
      <c r="D16" s="88">
        <f>'2. Grassfed CloseOut'!D15</f>
        <v>125</v>
      </c>
    </row>
    <row r="17" spans="2:7">
      <c r="B17" s="13" t="s">
        <v>53</v>
      </c>
      <c r="C17" s="14" t="s">
        <v>39</v>
      </c>
      <c r="D17" s="128">
        <f>'2. Grassfed CloseOut'!D17</f>
        <v>375</v>
      </c>
    </row>
    <row r="18" spans="2:7">
      <c r="B18" t="s">
        <v>20</v>
      </c>
      <c r="C18" s="17" t="s">
        <v>28</v>
      </c>
      <c r="D18" s="90">
        <f>'2. Grassfed CloseOut'!C19</f>
        <v>1</v>
      </c>
    </row>
    <row r="19" spans="2:7">
      <c r="B19" s="53" t="s">
        <v>31</v>
      </c>
      <c r="C19" s="51" t="s">
        <v>3</v>
      </c>
      <c r="D19" s="139">
        <f>'2. Grassfed CloseOut'!D19</f>
        <v>0.01</v>
      </c>
    </row>
    <row r="20" spans="2:7">
      <c r="B20" s="85" t="s">
        <v>176</v>
      </c>
      <c r="C20" s="57" t="s">
        <v>28</v>
      </c>
      <c r="D20" s="90">
        <f>'2. Grassfed CloseOut'!C21</f>
        <v>99</v>
      </c>
    </row>
    <row r="21" spans="2:7">
      <c r="B21" t="s">
        <v>23</v>
      </c>
      <c r="C21" s="57" t="s">
        <v>3</v>
      </c>
      <c r="D21" s="87">
        <f>'2. Grassfed CloseOut'!C22</f>
        <v>3</v>
      </c>
    </row>
    <row r="22" spans="2:7">
      <c r="B22" t="s">
        <v>36</v>
      </c>
      <c r="C22" s="57" t="s">
        <v>37</v>
      </c>
      <c r="D22" s="92">
        <f>'2. Grassfed CloseOut'!E22</f>
        <v>1200</v>
      </c>
    </row>
    <row r="23" spans="2:7">
      <c r="B23" t="s">
        <v>42</v>
      </c>
      <c r="C23" s="57" t="s">
        <v>37</v>
      </c>
      <c r="D23" s="93">
        <f>'2. Grassfed CloseOut'!E24</f>
        <v>694.94949494949492</v>
      </c>
    </row>
    <row r="24" spans="2:7">
      <c r="B24" s="40" t="s">
        <v>60</v>
      </c>
      <c r="C24" s="226" t="s">
        <v>57</v>
      </c>
      <c r="D24" s="47">
        <f>'2. Grassfed CloseOut'!C23</f>
        <v>172</v>
      </c>
    </row>
    <row r="25" spans="2:7">
      <c r="B25" s="238" t="s">
        <v>35</v>
      </c>
      <c r="C25" s="242" t="s">
        <v>64</v>
      </c>
      <c r="D25" s="244">
        <f>'2. Grassfed CloseOut'!C24</f>
        <v>1.8531986531986533</v>
      </c>
    </row>
    <row r="27" spans="2:7">
      <c r="B27" s="55" t="s">
        <v>69</v>
      </c>
      <c r="C27" s="51"/>
      <c r="D27" s="248" t="str">
        <f>'1. Grassfed Financial Data '!E5</f>
        <v>Live Sale</v>
      </c>
      <c r="E27" s="14"/>
      <c r="F27" s="5" t="s">
        <v>185</v>
      </c>
      <c r="G27" s="5"/>
    </row>
    <row r="28" spans="2:7">
      <c r="B28" s="229" t="s">
        <v>194</v>
      </c>
      <c r="C28" s="14" t="s">
        <v>175</v>
      </c>
      <c r="D28" s="74">
        <f>'2. Grassfed CloseOut'!D33</f>
        <v>143.57999999999998</v>
      </c>
      <c r="E28" s="227">
        <f>+D28*D13*0.01</f>
        <v>717.89999999999986</v>
      </c>
    </row>
    <row r="29" spans="2:7">
      <c r="B29" s="229" t="s">
        <v>173</v>
      </c>
      <c r="C29" s="230" t="s">
        <v>175</v>
      </c>
      <c r="D29" s="237">
        <f>'2. Grassfed CloseOut'!D27</f>
        <v>131.60606060606062</v>
      </c>
      <c r="E29" s="228">
        <f>'2. Grassfed CloseOut'!E27</f>
        <v>1579.2727272727273</v>
      </c>
    </row>
    <row r="30" spans="2:7">
      <c r="B30" s="50"/>
      <c r="C30" s="51"/>
    </row>
    <row r="31" spans="2:7">
      <c r="B31" s="149" t="s">
        <v>26</v>
      </c>
      <c r="C31" s="156" t="s">
        <v>2</v>
      </c>
      <c r="D31" s="160">
        <f>'2. Grassfed CloseOut'!C84</f>
        <v>-11.973939393939361</v>
      </c>
    </row>
    <row r="32" spans="2:7">
      <c r="C32" s="51"/>
      <c r="D32" s="44"/>
    </row>
    <row r="33" spans="2:6">
      <c r="B33" s="54" t="s">
        <v>171</v>
      </c>
      <c r="C33" s="51" t="s">
        <v>34</v>
      </c>
      <c r="D33" s="67">
        <f>'2. Grassfed CloseOut'!E76</f>
        <v>0.71258720930232555</v>
      </c>
    </row>
    <row r="34" spans="2:6">
      <c r="B34" s="54" t="s">
        <v>172</v>
      </c>
      <c r="C34" s="236" t="s">
        <v>3</v>
      </c>
      <c r="D34" s="222">
        <f>D33/D36</f>
        <v>0.59310428260343573</v>
      </c>
    </row>
    <row r="35" spans="2:6">
      <c r="B35" s="85" t="s">
        <v>177</v>
      </c>
      <c r="C35" s="225" t="s">
        <v>34</v>
      </c>
      <c r="D35" s="67">
        <f>'2. Grassfed CloseOut'!E77</f>
        <v>0.48886627906976743</v>
      </c>
    </row>
    <row r="36" spans="2:6">
      <c r="B36" s="238" t="s">
        <v>162</v>
      </c>
      <c r="C36" s="156" t="s">
        <v>34</v>
      </c>
      <c r="D36" s="160">
        <f>'2. Grassfed CloseOut'!E78</f>
        <v>1.2014534883720931</v>
      </c>
    </row>
    <row r="38" spans="2:6">
      <c r="B38" s="232" t="s">
        <v>86</v>
      </c>
      <c r="C38" s="233" t="s">
        <v>34</v>
      </c>
      <c r="D38" s="234">
        <f>'2. Grassfed CloseOut'!E81</f>
        <v>1.2290406976744186</v>
      </c>
      <c r="F38" s="127" t="s">
        <v>85</v>
      </c>
    </row>
    <row r="39" spans="2:6">
      <c r="B39" s="54"/>
      <c r="C39" s="14"/>
      <c r="D39" s="45"/>
    </row>
    <row r="40" spans="2:6">
      <c r="B40" s="238" t="s">
        <v>70</v>
      </c>
      <c r="C40" s="156" t="s">
        <v>175</v>
      </c>
      <c r="D40" s="239">
        <f>'2. Grassfed CloseOut'!D62</f>
        <v>130.00841750841752</v>
      </c>
      <c r="E40" s="240">
        <f>'2. Grassfed CloseOut'!E62</f>
        <v>1560.1010101010102</v>
      </c>
    </row>
    <row r="41" spans="2:6">
      <c r="B41" s="55"/>
      <c r="C41" s="51"/>
      <c r="D41" s="67"/>
    </row>
    <row r="42" spans="2:6">
      <c r="B42" s="56" t="s">
        <v>9</v>
      </c>
      <c r="C42" s="51" t="s">
        <v>52</v>
      </c>
      <c r="D42" s="74">
        <f>'2. Grassfed CloseOut'!F70</f>
        <v>-60.474441383532131</v>
      </c>
    </row>
    <row r="43" spans="2:6">
      <c r="B43" s="56" t="s">
        <v>11</v>
      </c>
      <c r="C43" s="51" t="s">
        <v>52</v>
      </c>
      <c r="D43" s="11">
        <f>'2. Grassfed CloseOut'!F71</f>
        <v>79.646158555249514</v>
      </c>
    </row>
    <row r="44" spans="2:6">
      <c r="B44" s="238" t="s">
        <v>188</v>
      </c>
      <c r="C44" s="156" t="s">
        <v>52</v>
      </c>
      <c r="D44" s="241">
        <f>'2. Grassfed CloseOut'!F72</f>
        <v>19.171717171717383</v>
      </c>
    </row>
    <row r="45" spans="2:6">
      <c r="C45" s="14"/>
      <c r="D45" s="64"/>
    </row>
    <row r="46" spans="2:6">
      <c r="B46" s="238" t="s">
        <v>54</v>
      </c>
      <c r="C46" s="242" t="s">
        <v>3</v>
      </c>
      <c r="D46" s="243">
        <f>'2. Grassfed CloseOut'!F66</f>
        <v>7.3090003954683971E-2</v>
      </c>
    </row>
  </sheetData>
  <sheetProtection sheet="1" objects="1" scenarios="1"/>
  <mergeCells count="4">
    <mergeCell ref="C5:D5"/>
    <mergeCell ref="C6:D6"/>
    <mergeCell ref="B1:E1"/>
    <mergeCell ref="C7:E7"/>
  </mergeCells>
  <phoneticPr fontId="11" type="noConversion"/>
  <printOptions gridLines="1"/>
  <pageMargins left="1" right="0.75" top="1" bottom="1" header="0.5" footer="0.5"/>
  <pageSetup scale="95" orientation="portrait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Grassfed Financial Data </vt:lpstr>
      <vt:lpstr>2. Grassfed CloseOut</vt:lpstr>
      <vt:lpstr>3. Grassfed Closeout Summary</vt:lpstr>
      <vt:lpstr>'1. Grassfed Financial Data '!Print_Area</vt:lpstr>
      <vt:lpstr>'2. Grassfed CloseOut'!Print_Area</vt:lpstr>
      <vt:lpstr>'3. Grassfed Closeout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James McGrann</cp:lastModifiedBy>
  <cp:lastPrinted>2017-03-07T10:13:11Z</cp:lastPrinted>
  <dcterms:created xsi:type="dcterms:W3CDTF">2008-07-17T16:45:37Z</dcterms:created>
  <dcterms:modified xsi:type="dcterms:W3CDTF">2017-03-07T10:13:13Z</dcterms:modified>
</cp:coreProperties>
</file>