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Documents\2017 TAMU Updates 3-9-2017\2017 Full Production SPA\"/>
    </mc:Choice>
  </mc:AlternateContent>
  <bookViews>
    <workbookView xWindow="360" yWindow="20" windowWidth="11340" windowHeight="6540" tabRatio="967"/>
  </bookViews>
  <sheets>
    <sheet name="1. SPA Reproduction Data " sheetId="2" r:id="rId1"/>
    <sheet name="2. SPA Weaning Data " sheetId="5" r:id="rId2"/>
    <sheet name="3. BreedingStockSales&amp;DeathLoss" sheetId="9" r:id="rId3"/>
    <sheet name="4. Grazing &amp; Raised Feed" sheetId="10" r:id="rId4"/>
    <sheet name="5. Feed Fed" sheetId="11" r:id="rId5"/>
    <sheet name="6. SPA Performance Results" sheetId="6" r:id="rId6"/>
    <sheet name="7. SPA Performance Graphs" sheetId="8" r:id="rId7"/>
    <sheet name="Pregnancy Data Worksheet" sheetId="4" r:id="rId8"/>
  </sheets>
  <definedNames>
    <definedName name="_xlnm.Print_Area" localSheetId="0">'1. SPA Reproduction Data '!$A$1:$I$155</definedName>
    <definedName name="_xlnm.Print_Area" localSheetId="1">'2. SPA Weaning Data '!$A$1:$L$61</definedName>
    <definedName name="_xlnm.Print_Area" localSheetId="2">'3. BreedingStockSales&amp;DeathLoss'!$B$1:$M$49</definedName>
    <definedName name="_xlnm.Print_Area" localSheetId="3">'4. Grazing &amp; Raised Feed'!$B$1:$K$50</definedName>
    <definedName name="_xlnm.Print_Area" localSheetId="4">'5. Feed Fed'!$B$1:$F$32</definedName>
    <definedName name="_xlnm.Print_Area" localSheetId="5">'6. SPA Performance Results'!$B$2:$G$60</definedName>
    <definedName name="_xlnm.Print_Area" localSheetId="6">'7. SPA Performance Graphs'!$B$3:$N$67</definedName>
    <definedName name="_xlnm.Print_Area" localSheetId="7">'Pregnancy Data Worksheet'!$B$1:$E$47</definedName>
  </definedNames>
  <calcPr calcId="171027"/>
</workbook>
</file>

<file path=xl/calcChain.xml><?xml version="1.0" encoding="utf-8"?>
<calcChain xmlns="http://schemas.openxmlformats.org/spreadsheetml/2006/main">
  <c r="E18" i="11" l="1"/>
  <c r="E17" i="11"/>
  <c r="I26" i="5"/>
  <c r="I24" i="5"/>
  <c r="I17" i="5"/>
  <c r="I12" i="9"/>
  <c r="I9" i="9"/>
  <c r="I26" i="9"/>
  <c r="C18" i="11" l="1"/>
  <c r="E16" i="11"/>
  <c r="F16" i="11" s="1"/>
  <c r="D3" i="11"/>
  <c r="C17" i="11" s="1"/>
  <c r="C11" i="11"/>
  <c r="E7" i="11"/>
  <c r="E11" i="11" s="1"/>
  <c r="C105" i="2"/>
  <c r="F14" i="2"/>
  <c r="F15" i="2" s="1"/>
  <c r="F9" i="2"/>
  <c r="O9" i="2" s="1"/>
  <c r="G26" i="9"/>
  <c r="G9" i="9"/>
  <c r="H26" i="5"/>
  <c r="J26" i="5" s="1"/>
  <c r="H24" i="5"/>
  <c r="H17" i="5"/>
  <c r="H141" i="2"/>
  <c r="C3" i="10"/>
  <c r="I3" i="10"/>
  <c r="K40" i="10"/>
  <c r="F40" i="10"/>
  <c r="K39" i="10"/>
  <c r="F39" i="10"/>
  <c r="K38" i="10"/>
  <c r="K41" i="10" s="1"/>
  <c r="F38" i="10"/>
  <c r="F41" i="10" s="1"/>
  <c r="H26" i="10"/>
  <c r="H30" i="10"/>
  <c r="D26" i="10"/>
  <c r="D30" i="10" s="1"/>
  <c r="J25" i="10"/>
  <c r="F25" i="10"/>
  <c r="J24" i="10"/>
  <c r="F24" i="10"/>
  <c r="J23" i="10"/>
  <c r="F23" i="10"/>
  <c r="J22" i="10"/>
  <c r="F22" i="10"/>
  <c r="F26" i="10"/>
  <c r="J21" i="10"/>
  <c r="J26" i="10" s="1"/>
  <c r="J30" i="10" s="1"/>
  <c r="F21" i="10"/>
  <c r="H14" i="10"/>
  <c r="D14" i="10"/>
  <c r="C16" i="10" s="1"/>
  <c r="C44" i="10" s="1"/>
  <c r="C45" i="10" s="1"/>
  <c r="J13" i="10"/>
  <c r="C46" i="10" s="1"/>
  <c r="G52" i="6" s="1"/>
  <c r="F13" i="10"/>
  <c r="J12" i="10"/>
  <c r="F12" i="10"/>
  <c r="J11" i="10"/>
  <c r="F11" i="10"/>
  <c r="J10" i="10"/>
  <c r="F10" i="10"/>
  <c r="J9" i="10"/>
  <c r="J14" i="10"/>
  <c r="F9" i="10"/>
  <c r="F14" i="10" s="1"/>
  <c r="J8" i="10"/>
  <c r="F8" i="10"/>
  <c r="I3" i="9"/>
  <c r="I38" i="9" s="1"/>
  <c r="G43" i="9"/>
  <c r="G48" i="9"/>
  <c r="I11" i="9"/>
  <c r="I14" i="9"/>
  <c r="M14" i="9" s="1"/>
  <c r="I18" i="9"/>
  <c r="I21" i="9"/>
  <c r="I31" i="9"/>
  <c r="E11" i="9"/>
  <c r="E14" i="9"/>
  <c r="E18" i="9"/>
  <c r="R21" i="9" s="1"/>
  <c r="E21" i="9"/>
  <c r="E22" i="9" s="1"/>
  <c r="E31" i="9"/>
  <c r="M31" i="9"/>
  <c r="M29" i="9"/>
  <c r="M28" i="9"/>
  <c r="M26" i="9"/>
  <c r="L26" i="9"/>
  <c r="K26" i="9"/>
  <c r="M25" i="9"/>
  <c r="L25" i="9"/>
  <c r="K25" i="9"/>
  <c r="R14" i="9"/>
  <c r="R23" i="9" s="1"/>
  <c r="M20" i="9"/>
  <c r="M19" i="9"/>
  <c r="M18" i="9"/>
  <c r="M17" i="9"/>
  <c r="M16" i="9"/>
  <c r="G11" i="9"/>
  <c r="S14" i="9" s="1"/>
  <c r="G14" i="9"/>
  <c r="M13" i="9"/>
  <c r="L13" i="9"/>
  <c r="K13" i="9"/>
  <c r="M12" i="9"/>
  <c r="L12" i="9"/>
  <c r="K12" i="9"/>
  <c r="M10" i="9"/>
  <c r="L10" i="9"/>
  <c r="K10" i="9"/>
  <c r="M9" i="9"/>
  <c r="L9" i="9"/>
  <c r="K9" i="9"/>
  <c r="H22" i="2"/>
  <c r="H60" i="2"/>
  <c r="H65" i="2"/>
  <c r="T35" i="8" s="1"/>
  <c r="G21" i="5"/>
  <c r="G31" i="5"/>
  <c r="C145" i="2"/>
  <c r="J145" i="2" s="1"/>
  <c r="D145" i="2"/>
  <c r="D74" i="2"/>
  <c r="C74" i="2"/>
  <c r="C21" i="2"/>
  <c r="K141" i="2"/>
  <c r="H12" i="2"/>
  <c r="H18" i="2"/>
  <c r="J4" i="5"/>
  <c r="G4" i="6" s="1"/>
  <c r="E3" i="5"/>
  <c r="F37" i="2"/>
  <c r="D52" i="2" s="1"/>
  <c r="H14" i="5"/>
  <c r="H21" i="5"/>
  <c r="L21" i="5" s="1"/>
  <c r="G39" i="6" s="1"/>
  <c r="I31" i="5"/>
  <c r="I14" i="5"/>
  <c r="L14" i="5"/>
  <c r="G37" i="6" s="1"/>
  <c r="G14" i="5"/>
  <c r="J14" i="5" s="1"/>
  <c r="G22" i="6"/>
  <c r="H103" i="2"/>
  <c r="H101" i="2"/>
  <c r="H99" i="2"/>
  <c r="H97" i="2"/>
  <c r="H95" i="2"/>
  <c r="H93" i="2"/>
  <c r="D105" i="2"/>
  <c r="F83" i="2" s="1"/>
  <c r="H33" i="2"/>
  <c r="H46" i="2"/>
  <c r="J29" i="5"/>
  <c r="K29" i="5" s="1"/>
  <c r="L29" i="5"/>
  <c r="J24" i="5"/>
  <c r="L24" i="5"/>
  <c r="J19" i="5"/>
  <c r="L19" i="5"/>
  <c r="K19" i="5"/>
  <c r="J17" i="5"/>
  <c r="J12" i="5"/>
  <c r="K12" i="5" s="1"/>
  <c r="L12" i="5"/>
  <c r="J10" i="5"/>
  <c r="K10" i="5" s="1"/>
  <c r="L10" i="5"/>
  <c r="H3" i="2"/>
  <c r="K14" i="9"/>
  <c r="K24" i="5"/>
  <c r="I21" i="5"/>
  <c r="L17" i="5"/>
  <c r="K17" i="5" s="1"/>
  <c r="H151" i="2"/>
  <c r="I44" i="5"/>
  <c r="L135" i="2"/>
  <c r="G18" i="6"/>
  <c r="K67" i="8" s="1"/>
  <c r="H127" i="2"/>
  <c r="G10" i="6" s="1"/>
  <c r="V15" i="8" s="1"/>
  <c r="H136" i="2"/>
  <c r="L133" i="2"/>
  <c r="G12" i="6" s="1"/>
  <c r="W35" i="8" s="1"/>
  <c r="H139" i="2"/>
  <c r="F9" i="11"/>
  <c r="D8" i="11"/>
  <c r="H77" i="2"/>
  <c r="E84" i="2" s="1"/>
  <c r="D18" i="11"/>
  <c r="D7" i="11"/>
  <c r="E91" i="2"/>
  <c r="E105" i="2" s="1"/>
  <c r="M11" i="9"/>
  <c r="D49" i="2"/>
  <c r="F8" i="11"/>
  <c r="F15" i="11"/>
  <c r="D15" i="11"/>
  <c r="D9" i="11"/>
  <c r="H45" i="10"/>
  <c r="H70" i="2"/>
  <c r="G16" i="6" s="1"/>
  <c r="H91" i="2"/>
  <c r="I34" i="5" l="1"/>
  <c r="T14" i="9"/>
  <c r="L14" i="9"/>
  <c r="I22" i="9"/>
  <c r="I33" i="9" s="1"/>
  <c r="B78" i="2"/>
  <c r="H9" i="2"/>
  <c r="F36" i="2"/>
  <c r="C121" i="2"/>
  <c r="H84" i="2"/>
  <c r="H112" i="2"/>
  <c r="F114" i="2"/>
  <c r="H116" i="2"/>
  <c r="C122" i="2"/>
  <c r="H15" i="2"/>
  <c r="K14" i="5"/>
  <c r="G26" i="6"/>
  <c r="D17" i="11"/>
  <c r="C20" i="11"/>
  <c r="C23" i="11" s="1"/>
  <c r="F27" i="11" s="1"/>
  <c r="G57" i="6" s="1"/>
  <c r="H105" i="2"/>
  <c r="H79" i="2"/>
  <c r="H81" i="2" s="1"/>
  <c r="G6" i="6" s="1"/>
  <c r="E33" i="9"/>
  <c r="G49" i="6"/>
  <c r="C28" i="10"/>
  <c r="H31" i="5"/>
  <c r="C48" i="10"/>
  <c r="G50" i="6" s="1"/>
  <c r="J21" i="5"/>
  <c r="G34" i="5"/>
  <c r="K11" i="9"/>
  <c r="T21" i="9"/>
  <c r="T23" i="9" s="1"/>
  <c r="F18" i="11"/>
  <c r="L26" i="5"/>
  <c r="K26" i="5" s="1"/>
  <c r="F30" i="10"/>
  <c r="J32" i="10" s="1"/>
  <c r="F7" i="11"/>
  <c r="F11" i="11" s="1"/>
  <c r="L11" i="9"/>
  <c r="C104" i="2"/>
  <c r="M21" i="9"/>
  <c r="M22" i="9" l="1"/>
  <c r="J122" i="2"/>
  <c r="J121" i="2"/>
  <c r="J144" i="2" s="1"/>
  <c r="J146" i="2" s="1"/>
  <c r="C153" i="2" s="1"/>
  <c r="J31" i="5"/>
  <c r="L31" i="5"/>
  <c r="G41" i="6" s="1"/>
  <c r="H34" i="5"/>
  <c r="J34" i="5"/>
  <c r="I38" i="5"/>
  <c r="F17" i="11"/>
  <c r="E20" i="11"/>
  <c r="K21" i="5"/>
  <c r="G28" i="6"/>
  <c r="C50" i="10"/>
  <c r="G47" i="6"/>
  <c r="U15" i="8"/>
  <c r="G8" i="6"/>
  <c r="V35" i="8" s="1"/>
  <c r="M146" i="2" l="1"/>
  <c r="I52" i="5" s="1"/>
  <c r="I53" i="5"/>
  <c r="K31" i="5"/>
  <c r="G30" i="6"/>
  <c r="E23" i="11"/>
  <c r="F23" i="11" s="1"/>
  <c r="F20" i="11"/>
  <c r="I46" i="5"/>
  <c r="G14" i="6" s="1"/>
  <c r="W15" i="8" s="1"/>
  <c r="I42" i="5"/>
  <c r="G32" i="6"/>
  <c r="I50" i="10"/>
  <c r="G54" i="6" s="1"/>
  <c r="H44" i="10"/>
  <c r="I48" i="10" s="1"/>
  <c r="L34" i="5"/>
  <c r="G43" i="6" s="1"/>
  <c r="H46" i="10"/>
  <c r="I40" i="5"/>
  <c r="I49" i="5" s="1"/>
  <c r="G34" i="6" s="1"/>
  <c r="I56" i="5" l="1"/>
  <c r="K34" i="5"/>
</calcChain>
</file>

<file path=xl/sharedStrings.xml><?xml version="1.0" encoding="utf-8"?>
<sst xmlns="http://schemas.openxmlformats.org/spreadsheetml/2006/main" count="466" uniqueCount="358">
  <si>
    <t>Beginning Date Of Breeding Season</t>
  </si>
  <si>
    <t>Ending Date Of Breeding Season</t>
  </si>
  <si>
    <t>Number</t>
  </si>
  <si>
    <t>Tested</t>
  </si>
  <si>
    <t>Open</t>
  </si>
  <si>
    <t>Group Description</t>
  </si>
  <si>
    <t>Pregnant</t>
  </si>
  <si>
    <t>%</t>
  </si>
  <si>
    <t>Check the numbers pregnant</t>
  </si>
  <si>
    <t>Days</t>
  </si>
  <si>
    <t>Ranch Name:</t>
  </si>
  <si>
    <t>Head</t>
  </si>
  <si>
    <t>Date of Report</t>
  </si>
  <si>
    <t xml:space="preserve">Pregnancy Testing Results by Cow and Replacement Heifer Group </t>
  </si>
  <si>
    <t>Comments:</t>
  </si>
  <si>
    <t>Mid point of Calving Season</t>
  </si>
  <si>
    <t>The total cows do not check - tested should equal opens plus pregnant</t>
  </si>
  <si>
    <t>Date of Pregnancy Testing</t>
  </si>
  <si>
    <t>Total Number Pregnancy Tested</t>
  </si>
  <si>
    <t>Total Number Pregnancy Tested Bred</t>
  </si>
  <si>
    <t>Total Number Pregnancy Tested Open</t>
  </si>
  <si>
    <t>Herd Description</t>
  </si>
  <si>
    <t xml:space="preserve">Number </t>
  </si>
  <si>
    <t xml:space="preserve">Bred </t>
  </si>
  <si>
    <t>Cow Culling Description and Data</t>
  </si>
  <si>
    <r>
      <t xml:space="preserve">Cows in Herd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Pregnancy Tested</t>
    </r>
  </si>
  <si>
    <t>Use Form Below When Groups of Cows and Replacement Heifers Are Tested</t>
  </si>
  <si>
    <t>Dates Of Breeding Season - Beginning</t>
  </si>
  <si>
    <t>Ending Date</t>
  </si>
  <si>
    <t>Date</t>
  </si>
  <si>
    <t>_____________________________________________________________________</t>
  </si>
  <si>
    <t>Total</t>
  </si>
  <si>
    <t>Summary Weaned Calves Production and Sales or Retained For Fiscal Year</t>
  </si>
  <si>
    <t xml:space="preserve">             Date Calves Weaned</t>
  </si>
  <si>
    <t>Fiscal Year Weaned</t>
  </si>
  <si>
    <t>Average</t>
  </si>
  <si>
    <t>Total Net</t>
  </si>
  <si>
    <t>Weaned Calves Production and Values</t>
  </si>
  <si>
    <t>Payweight</t>
  </si>
  <si>
    <t>Per Hd</t>
  </si>
  <si>
    <t>Value $</t>
  </si>
  <si>
    <t>$/Cwt</t>
  </si>
  <si>
    <t>$/Hd.</t>
  </si>
  <si>
    <t>Months</t>
  </si>
  <si>
    <t>Lb.</t>
  </si>
  <si>
    <t>Bull Calves Weaned</t>
  </si>
  <si>
    <t>Sold</t>
  </si>
  <si>
    <t xml:space="preserve"> Retained</t>
  </si>
  <si>
    <t>Subtotal Bull Calves*</t>
  </si>
  <si>
    <t>Steer Calves Weaned</t>
  </si>
  <si>
    <t>Subtotal Steer Calves*</t>
  </si>
  <si>
    <t>Heifer Calves Weaned</t>
  </si>
  <si>
    <t>Heifers Kept  for Replacements</t>
  </si>
  <si>
    <t>Subtotal Heifer Calves*</t>
  </si>
  <si>
    <t>Total Weaned Calves Production and Value</t>
  </si>
  <si>
    <t xml:space="preserve"> of Sales,  Retained or kept for Replacement*</t>
  </si>
  <si>
    <t>Total Number of Calves Weaned</t>
  </si>
  <si>
    <t>A.</t>
  </si>
  <si>
    <t>Total Weaning Weight of Calves</t>
  </si>
  <si>
    <t>B.</t>
  </si>
  <si>
    <t>Lbs</t>
  </si>
  <si>
    <t>Average Weaning Weight</t>
  </si>
  <si>
    <t>C =A/B</t>
  </si>
  <si>
    <t>D</t>
  </si>
  <si>
    <t>Weaned Calf Crop</t>
  </si>
  <si>
    <t>E = (A/D)*100</t>
  </si>
  <si>
    <t>Pounds Weaned Per Exposed Cow</t>
  </si>
  <si>
    <t>F = B/D</t>
  </si>
  <si>
    <t>__________________________________________________________________________________________________</t>
  </si>
  <si>
    <t>______________________________________________________________________________________</t>
  </si>
  <si>
    <t xml:space="preserve">Exposed Females sold or transferred out before the </t>
  </si>
  <si>
    <t>breeding season ends.</t>
  </si>
  <si>
    <t>Exposed females purchased or transferred in during the</t>
  </si>
  <si>
    <t>breeding season.</t>
  </si>
  <si>
    <t xml:space="preserve"> Adjustments In Exposed Cows After Breeding Season</t>
  </si>
  <si>
    <t>Total Adjusted Number of Exposed at End of Breeding Season</t>
  </si>
  <si>
    <t>Open females sold or transferred out after the breeding season</t>
  </si>
  <si>
    <t>Exposed females sold or transferred out after the breeding season</t>
  </si>
  <si>
    <t>with out pregnancy testing</t>
  </si>
  <si>
    <t xml:space="preserve">   Replacement Heifers</t>
  </si>
  <si>
    <t xml:space="preserve">Culled exposed females not intended to be calves but in </t>
  </si>
  <si>
    <t>Pregnant females sold or transferred out after the breeding season</t>
  </si>
  <si>
    <t xml:space="preserve">Exposed and pregnant females purchased or transferred in </t>
  </si>
  <si>
    <t>Total females sold or transferred out after the breeding season (5a+5b+5c)</t>
  </si>
  <si>
    <t>Adjustments to Exposed Female Numbers</t>
  </si>
  <si>
    <t>Total females sold or transferred out with nursing calves (pairs)</t>
  </si>
  <si>
    <t>between calving and weaning</t>
  </si>
  <si>
    <t>Total females purchased or transferred in with nursing calves (pairs)</t>
  </si>
  <si>
    <t>Adjusted Exposed Females (1-2-3+4-5b+6-7+8)</t>
  </si>
  <si>
    <t>Purchased replacement heifers to cows exposed or exposed</t>
  </si>
  <si>
    <r>
      <t>Replacement heifers exposed for first calf (</t>
    </r>
    <r>
      <rPr>
        <sz val="11"/>
        <rFont val="Arial"/>
        <family val="2"/>
      </rPr>
      <t>see item 1 b.</t>
    </r>
    <r>
      <rPr>
        <sz val="12"/>
        <rFont val="Arial"/>
        <family val="2"/>
      </rPr>
      <t>)</t>
    </r>
  </si>
  <si>
    <t>Percent death loss - 10/9</t>
  </si>
  <si>
    <t>Replacement Rate (11a+11b)/9</t>
  </si>
  <si>
    <t>_______________________________________________________________________________________</t>
  </si>
  <si>
    <t>Pregnancy Data and Performance</t>
  </si>
  <si>
    <t>Preg</t>
  </si>
  <si>
    <t>Total Females Exposed at the Beginning of the</t>
  </si>
  <si>
    <t>Breeding Season  - Cows</t>
  </si>
  <si>
    <r>
      <t>Total Females Diagnosed as Pregnant (f</t>
    </r>
    <r>
      <rPr>
        <sz val="10"/>
        <rFont val="Arial"/>
        <family val="2"/>
      </rPr>
      <t>rom results below)</t>
    </r>
  </si>
  <si>
    <r>
      <t>Number of females diagnosed as open (</t>
    </r>
    <r>
      <rPr>
        <sz val="10"/>
        <rFont val="Arial"/>
        <family val="2"/>
      </rPr>
      <t>from results below</t>
    </r>
    <r>
      <rPr>
        <sz val="12"/>
        <rFont val="Arial"/>
        <family val="2"/>
      </rPr>
      <t>)</t>
    </r>
  </si>
  <si>
    <r>
      <t>Percent of females diagnosed as open (</t>
    </r>
    <r>
      <rPr>
        <sz val="10"/>
        <rFont val="Arial"/>
        <family val="2"/>
      </rPr>
      <t>from results below</t>
    </r>
    <r>
      <rPr>
        <sz val="12"/>
        <rFont val="Arial"/>
        <family val="2"/>
      </rPr>
      <t>)</t>
    </r>
  </si>
  <si>
    <r>
      <t>Total Death loss of exposed females (</t>
    </r>
    <r>
      <rPr>
        <sz val="10"/>
        <rFont val="Arial"/>
        <family val="2"/>
      </rPr>
      <t>during the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fiscal year of analysis</t>
    </r>
    <r>
      <rPr>
        <sz val="12"/>
        <rFont val="Arial"/>
        <family val="2"/>
      </rPr>
      <t>)</t>
    </r>
  </si>
  <si>
    <t>Pregnancy percentage based on exposed females pregnancy tested</t>
  </si>
  <si>
    <t xml:space="preserve">Percent open sold or transferred </t>
  </si>
  <si>
    <t>14 a.</t>
  </si>
  <si>
    <t>14 b.</t>
  </si>
  <si>
    <t>15 a.</t>
  </si>
  <si>
    <t>15 b.</t>
  </si>
  <si>
    <t>16 a.</t>
  </si>
  <si>
    <t>16 b.</t>
  </si>
  <si>
    <t>17 a.</t>
  </si>
  <si>
    <t>Number of open females kept in breeding herd</t>
  </si>
  <si>
    <t>Percent open females kept in breeding herd</t>
  </si>
  <si>
    <t>17 b.</t>
  </si>
  <si>
    <t>Calving Performance Measures</t>
  </si>
  <si>
    <t>18 a.</t>
  </si>
  <si>
    <t xml:space="preserve">Calving Percentage based on total females calving </t>
  </si>
  <si>
    <t>18 b.</t>
  </si>
  <si>
    <t>18 c.</t>
  </si>
  <si>
    <t>Calving distribution not included here</t>
  </si>
  <si>
    <t>Calf death loss only due to calving problems</t>
  </si>
  <si>
    <t>Total live calves born</t>
  </si>
  <si>
    <t>Calving percentage based on exposed females</t>
  </si>
  <si>
    <t>21 a.</t>
  </si>
  <si>
    <t>21 b.</t>
  </si>
  <si>
    <t>21 c.</t>
  </si>
  <si>
    <t>Calving death loss percentage based on exposed females</t>
  </si>
  <si>
    <t>and live calves produced (19/(7+9-8))</t>
  </si>
  <si>
    <t>Calving death loss based on calves born (19/18a)</t>
  </si>
  <si>
    <t>Nursing calves purchased or transferred in and grafted to females</t>
  </si>
  <si>
    <t>Total weaned calves</t>
  </si>
  <si>
    <t>Beginning</t>
  </si>
  <si>
    <t>Ending</t>
  </si>
  <si>
    <t>Average calving date</t>
  </si>
  <si>
    <t>Average weaning date</t>
  </si>
  <si>
    <t>Months Old</t>
  </si>
  <si>
    <t>Based on Midpoint Dates</t>
  </si>
  <si>
    <r>
      <t>Average Age at Weaning (</t>
    </r>
    <r>
      <rPr>
        <sz val="10"/>
        <rFont val="Arial"/>
        <family val="2"/>
      </rPr>
      <t>mo.</t>
    </r>
    <r>
      <rPr>
        <sz val="12"/>
        <rFont val="Arial"/>
        <family val="2"/>
      </rPr>
      <t>)</t>
    </r>
  </si>
  <si>
    <t>Weaning or calf crop percentage ((43-42)/9)</t>
  </si>
  <si>
    <t>19.</t>
  </si>
  <si>
    <t>20.</t>
  </si>
  <si>
    <t xml:space="preserve">    Date of pregnancy testing</t>
  </si>
  <si>
    <t xml:space="preserve">Adjusted Exposed Females </t>
  </si>
  <si>
    <t>Pregnancy</t>
  </si>
  <si>
    <r>
      <t>Number of exposed females that are pregnancy tested (</t>
    </r>
    <r>
      <rPr>
        <sz val="10"/>
        <rFont val="Arial"/>
        <family val="2"/>
      </rPr>
      <t>from results below</t>
    </r>
    <r>
      <rPr>
        <sz val="12"/>
        <rFont val="Arial"/>
        <family val="2"/>
      </rPr>
      <t>)</t>
    </r>
  </si>
  <si>
    <t>Breeding Season and Pregnancy Testing Results Summary for SPA Calculations</t>
  </si>
  <si>
    <t xml:space="preserve">Death Loss and Replacement </t>
  </si>
  <si>
    <r>
      <t>Before Calving Begins - (</t>
    </r>
    <r>
      <rPr>
        <sz val="10"/>
        <rFont val="Arial"/>
        <family val="2"/>
      </rPr>
      <t>Beginning Breeding Season +283 Days)</t>
    </r>
  </si>
  <si>
    <t>Sales or transfer of open exposed females</t>
  </si>
  <si>
    <t>intended to bred during the breeding season but failed to conceive.</t>
  </si>
  <si>
    <t>Weaning Performance Measurers</t>
  </si>
  <si>
    <t xml:space="preserve">Calf Weaning Dates </t>
  </si>
  <si>
    <t>See next sheet for calf weaning and marketing data</t>
  </si>
  <si>
    <t>Standardized Performance Analysis (SPA) Results</t>
  </si>
  <si>
    <t>Reproduction Performance</t>
  </si>
  <si>
    <t>Average Age at Weaning</t>
  </si>
  <si>
    <t>Bulls</t>
  </si>
  <si>
    <t>Steers</t>
  </si>
  <si>
    <t>Heifers</t>
  </si>
  <si>
    <t>Average Weaning Wt.</t>
  </si>
  <si>
    <t>Lb./Head</t>
  </si>
  <si>
    <t>Pregnancy Percentage**</t>
  </si>
  <si>
    <t>Pregnancy Loss Percentage**</t>
  </si>
  <si>
    <t>Calving Percentage*</t>
  </si>
  <si>
    <t>Calf Death Loss Based on Exposed Females*</t>
  </si>
  <si>
    <t>Calf Crop or Weaning Percentage*</t>
  </si>
  <si>
    <t>Female Replacement Rate**</t>
  </si>
  <si>
    <t>Calf Death Loss Based on Calves Born*</t>
  </si>
  <si>
    <t>*Primary measure of performance</t>
  </si>
  <si>
    <t>**Secondary measure of performance</t>
  </si>
  <si>
    <t>Production Performance Measures</t>
  </si>
  <si>
    <t>Actual Weaning Weights*</t>
  </si>
  <si>
    <t>Pounds Weaned per Exposed Cow*</t>
  </si>
  <si>
    <r>
      <t>Total Calves Born (</t>
    </r>
    <r>
      <rPr>
        <b/>
        <sz val="10"/>
        <rFont val="Arial"/>
        <family val="2"/>
      </rPr>
      <t>include live and dead calving</t>
    </r>
    <r>
      <rPr>
        <b/>
        <sz val="12"/>
        <rFont val="Arial"/>
        <family val="2"/>
      </rPr>
      <t xml:space="preserve"> )</t>
    </r>
  </si>
  <si>
    <t>Calf Death loss based on exposed females</t>
  </si>
  <si>
    <t>Market Values for Weaned Calves</t>
  </si>
  <si>
    <t xml:space="preserve">Average </t>
  </si>
  <si>
    <t>Lb</t>
  </si>
  <si>
    <t>Lb/Day</t>
  </si>
  <si>
    <t xml:space="preserve">  Average Age of Calves at Weaning</t>
  </si>
  <si>
    <t xml:space="preserve">  Average Birth Weight of Calves </t>
  </si>
  <si>
    <t xml:space="preserve">  Average Daily Gain of Calves </t>
  </si>
  <si>
    <t>Cow-Calf Productivity: Rate of Gain and Pounds Weaned Per Exposed Female</t>
  </si>
  <si>
    <t xml:space="preserve">   after the calving season begins</t>
  </si>
  <si>
    <t>exposed herd.</t>
  </si>
  <si>
    <t>after the breeding season ends</t>
  </si>
  <si>
    <t>and live calves produced  (20/(7+9-8))</t>
  </si>
  <si>
    <t>Totals</t>
  </si>
  <si>
    <t>Please check as all exposed cows were not pregnancy tested</t>
  </si>
  <si>
    <t>Pregnancy Testing Data Worksheet</t>
  </si>
  <si>
    <t>________________________________________________________________________________________</t>
  </si>
  <si>
    <t>Year of Breeding to Produced Weaned Calves</t>
  </si>
  <si>
    <t>Ranch Name &amp; Herd Name</t>
  </si>
  <si>
    <t>Printed</t>
  </si>
  <si>
    <t>SPA Year</t>
  </si>
  <si>
    <t>Length of calving season</t>
  </si>
  <si>
    <t>Date First Calf was born</t>
  </si>
  <si>
    <t xml:space="preserve">End of Weaning Date </t>
  </si>
  <si>
    <t xml:space="preserve">Beginning Weaning Date </t>
  </si>
  <si>
    <t>Pregnancy Testing Beginning Date</t>
  </si>
  <si>
    <t>Pregnancy Testing Ending Date</t>
  </si>
  <si>
    <t>Calculated Based on Midpoint Dates</t>
  </si>
  <si>
    <t>Date of Last Calf was born</t>
  </si>
  <si>
    <r>
      <t xml:space="preserve">Beginning Calving Date </t>
    </r>
    <r>
      <rPr>
        <b/>
        <sz val="10"/>
        <rFont val="Arial"/>
        <family val="2"/>
      </rPr>
      <t>(283 days after breeding date)</t>
    </r>
  </si>
  <si>
    <t xml:space="preserve">End of Calving Date </t>
  </si>
  <si>
    <t>22.</t>
  </si>
  <si>
    <t>23.</t>
  </si>
  <si>
    <t>24.</t>
  </si>
  <si>
    <t>1.</t>
  </si>
  <si>
    <t>2.</t>
  </si>
  <si>
    <t>3.</t>
  </si>
  <si>
    <t>4.</t>
  </si>
  <si>
    <t>5 a.</t>
  </si>
  <si>
    <t>5 b.</t>
  </si>
  <si>
    <t>5 c.</t>
  </si>
  <si>
    <t>5 d.</t>
  </si>
  <si>
    <t>6.</t>
  </si>
  <si>
    <t>7.</t>
  </si>
  <si>
    <t>8.</t>
  </si>
  <si>
    <t>9.</t>
  </si>
  <si>
    <t>10.</t>
  </si>
  <si>
    <t>11 a.</t>
  </si>
  <si>
    <t>11 b.</t>
  </si>
  <si>
    <t>12.</t>
  </si>
  <si>
    <t>13.</t>
  </si>
  <si>
    <t>Calving</t>
  </si>
  <si>
    <t>Weaning</t>
  </si>
  <si>
    <t>Pregnancy Loss</t>
  </si>
  <si>
    <t>Cow Death</t>
  </si>
  <si>
    <t>Calf Loss*</t>
  </si>
  <si>
    <t xml:space="preserve">        *Calf loss is based on the number of exposed cows born. Based on calves born the loss was </t>
  </si>
  <si>
    <t>Calf Death loss based on Calves Born</t>
  </si>
  <si>
    <t>Adjustments made at pregnancy Testing time</t>
  </si>
  <si>
    <r>
      <t xml:space="preserve">After the Breeding Season Ends </t>
    </r>
    <r>
      <rPr>
        <sz val="10"/>
        <rFont val="Arial"/>
        <family val="2"/>
      </rPr>
      <t>(check the pregnancy testing data)</t>
    </r>
  </si>
  <si>
    <t>and exposed (18a/(9 + 7- 8)</t>
  </si>
  <si>
    <t>SPA - Fiscal Year - Year Calves Weaned  in</t>
  </si>
  <si>
    <t>Cull or Breeding Cattle Sales</t>
  </si>
  <si>
    <t>Weight</t>
  </si>
  <si>
    <t>Price</t>
  </si>
  <si>
    <t>Lb/Head.</t>
  </si>
  <si>
    <t>$/Cwt.</t>
  </si>
  <si>
    <t>$/Head</t>
  </si>
  <si>
    <t>Aged Female Sales</t>
  </si>
  <si>
    <t>Culls for Cows Slaughter Raised</t>
  </si>
  <si>
    <t>Subtotal</t>
  </si>
  <si>
    <t>Culled Replacement Heifers Raised</t>
  </si>
  <si>
    <t>Total Cull</t>
  </si>
  <si>
    <t>For Breeding</t>
  </si>
  <si>
    <t xml:space="preserve"> Open &amp; Pregnant Raised</t>
  </si>
  <si>
    <t>With Calves (pairs) Raised</t>
  </si>
  <si>
    <t>With Calves (pairs) Purchased</t>
  </si>
  <si>
    <t>Total Breeding</t>
  </si>
  <si>
    <t>Subtotal Aged Female Sales</t>
  </si>
  <si>
    <t>Aged Bull Sales</t>
  </si>
  <si>
    <t>Culls for Slaughter Raised</t>
  </si>
  <si>
    <t xml:space="preserve"> Breeding Bulls Raised</t>
  </si>
  <si>
    <t>Subtotal Cull &amp; Breeding Bulls</t>
  </si>
  <si>
    <t>Total Cull or Breeding Cattle Sales</t>
  </si>
  <si>
    <t>Culls for Cows Slaughter - Purchased</t>
  </si>
  <si>
    <t>Culled Repl. Heifers - Purchased</t>
  </si>
  <si>
    <t xml:space="preserve"> Open &amp; Pregnant - Purchased</t>
  </si>
  <si>
    <t>Culls for Slaughter - Purchased</t>
  </si>
  <si>
    <t xml:space="preserve"> Breeding Bulls - Purchased</t>
  </si>
  <si>
    <t>Sales in SPA - Fiscal Year - Year Calves Weaned  in</t>
  </si>
  <si>
    <t>Death Loss of Exposed Females</t>
  </si>
  <si>
    <t xml:space="preserve">   Purchased</t>
  </si>
  <si>
    <t xml:space="preserve">   Raised</t>
  </si>
  <si>
    <t xml:space="preserve">   Head</t>
  </si>
  <si>
    <t>Breeding Cattle Death Loss During Fiscal Year</t>
  </si>
  <si>
    <t xml:space="preserve"> Total</t>
  </si>
  <si>
    <t>Death Loss of Herd Bulls</t>
  </si>
  <si>
    <t>Breeding Females at Beginning of Fiscal Year</t>
  </si>
  <si>
    <t>Grazing and Raised Feed Land Use</t>
  </si>
  <si>
    <t>Ranch Name</t>
  </si>
  <si>
    <t xml:space="preserve">Owned Grazing Acres </t>
  </si>
  <si>
    <t xml:space="preserve">Leased Grazing Acres </t>
  </si>
  <si>
    <t>Cow-calf Use</t>
  </si>
  <si>
    <t>Type of Pasture or Crop</t>
  </si>
  <si>
    <t>Total Acres</t>
  </si>
  <si>
    <t>Acres</t>
  </si>
  <si>
    <t>(a) Native Unimproved (Rangeland)</t>
  </si>
  <si>
    <t>(b) Native Improved</t>
  </si>
  <si>
    <t>(c) Improved Perennial</t>
  </si>
  <si>
    <t>(d) Annual Pasture/Forage Crop</t>
  </si>
  <si>
    <t>(e) Woodland (Grazeable Forestland)</t>
  </si>
  <si>
    <t>(f)  Crop Aftermath</t>
  </si>
  <si>
    <t>(g) Totals</t>
  </si>
  <si>
    <t xml:space="preserve">Owned Raised Feed Acres </t>
  </si>
  <si>
    <t xml:space="preserve">Leased Raised Feed Acres </t>
  </si>
  <si>
    <t>Cow-Calf Use</t>
  </si>
  <si>
    <t>Type of Feed Raised</t>
  </si>
  <si>
    <t>(e) Crop Aftermath</t>
  </si>
  <si>
    <t>(f) Totals</t>
  </si>
  <si>
    <t>Total  Land:</t>
  </si>
  <si>
    <t>Total  Land Owned and Leased: For Cows</t>
  </si>
  <si>
    <t>Raised Feed Production</t>
  </si>
  <si>
    <t xml:space="preserve">Total </t>
  </si>
  <si>
    <t>Market</t>
  </si>
  <si>
    <t>Description</t>
  </si>
  <si>
    <t>Prod.</t>
  </si>
  <si>
    <t>Value</t>
  </si>
  <si>
    <t>Units</t>
  </si>
  <si>
    <t>per Unit</t>
  </si>
  <si>
    <t>Hay</t>
  </si>
  <si>
    <t>Rolls</t>
  </si>
  <si>
    <t>Total - For Cows</t>
  </si>
  <si>
    <t>Acred</t>
  </si>
  <si>
    <t xml:space="preserve">All Grazing Land </t>
  </si>
  <si>
    <t>Total Acres for Cows</t>
  </si>
  <si>
    <t>Hd.</t>
  </si>
  <si>
    <t xml:space="preserve">Grazing Land </t>
  </si>
  <si>
    <t>Exposed Females</t>
  </si>
  <si>
    <t>Crop Aftermath</t>
  </si>
  <si>
    <r>
      <t>Total</t>
    </r>
    <r>
      <rPr>
        <sz val="10"/>
        <rFont val="Arial"/>
        <family val="2"/>
      </rPr>
      <t xml:space="preserve"> Weaned Production</t>
    </r>
  </si>
  <si>
    <t>Lbs.</t>
  </si>
  <si>
    <t>Raised Feed Land</t>
  </si>
  <si>
    <t>Total Acres per Exposed Cow</t>
  </si>
  <si>
    <t>Total of all Land For Cows</t>
  </si>
  <si>
    <t>Pounds Weaned Per Acre of Land</t>
  </si>
  <si>
    <t>Grazing and Raised Feed Land Measures</t>
  </si>
  <si>
    <t>Acres/Head</t>
  </si>
  <si>
    <t xml:space="preserve"> Acres Per Exposed Female</t>
  </si>
  <si>
    <t>Grazed Acres Per Exposed Female</t>
  </si>
  <si>
    <t>Raised Feed Acres Per Exposed Female</t>
  </si>
  <si>
    <t>Crop Aftermath Acres per Exposed Females</t>
  </si>
  <si>
    <t>Version 8-11-2010</t>
  </si>
  <si>
    <t>Total cow Herd</t>
  </si>
  <si>
    <t>Replacement Heifers</t>
  </si>
  <si>
    <t>All Grazing Land For Cow-Calf</t>
  </si>
  <si>
    <t>All Raised Feed Land For Cow-Calf</t>
  </si>
  <si>
    <t>Feed Fed and Cost Summary</t>
  </si>
  <si>
    <t>As Fed</t>
  </si>
  <si>
    <t>Lbs. Per</t>
  </si>
  <si>
    <t>Total Market</t>
  </si>
  <si>
    <t>Raised Feed Fed</t>
  </si>
  <si>
    <t>(Lbs.)*</t>
  </si>
  <si>
    <t>Head/BCU</t>
  </si>
  <si>
    <t>Cost/BCU</t>
  </si>
  <si>
    <t>Roughage</t>
  </si>
  <si>
    <t>Complete Feed of Concentrate</t>
  </si>
  <si>
    <t>Protein Supplement</t>
  </si>
  <si>
    <t>Total Raised Feed Fed</t>
  </si>
  <si>
    <t>Total Feed</t>
  </si>
  <si>
    <t>Purchased Feed</t>
  </si>
  <si>
    <t>Cost</t>
  </si>
  <si>
    <t>Complete Feed or Concentrate</t>
  </si>
  <si>
    <t>Mineral and Salt</t>
  </si>
  <si>
    <t>Total Purchased Feed</t>
  </si>
  <si>
    <t>Total Raised &amp; Purchased Feed</t>
  </si>
  <si>
    <t>Lb./BCU</t>
  </si>
  <si>
    <t>Pounds of Raised/Purchased Feed Fed Per Breeding Cow</t>
  </si>
  <si>
    <t>__________________________________________________________________________________</t>
  </si>
  <si>
    <t xml:space="preserve">*Silage and liquid supplements need to be converted to an as fed 87-90% as dry matter fed equivalent </t>
  </si>
  <si>
    <t xml:space="preserve"> so the pounds fed are comparable across feeds. See the users manual for more explanation.</t>
  </si>
  <si>
    <t>Pounds/Head</t>
  </si>
  <si>
    <t>_______________________________________________________________________________</t>
  </si>
  <si>
    <r>
      <t>Pounds of Raised/Purchased Feed Fed (</t>
    </r>
    <r>
      <rPr>
        <b/>
        <sz val="11"/>
        <rFont val="Arial"/>
        <family val="2"/>
      </rPr>
      <t>Per Breeding Cow</t>
    </r>
    <r>
      <rPr>
        <b/>
        <sz val="8"/>
        <rFont val="Arial"/>
        <family val="2"/>
      </rPr>
      <t>)</t>
    </r>
  </si>
  <si>
    <t xml:space="preserve">Example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</si>
</sst>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"/>
    <numFmt numFmtId="166" formatCode="[$$-409]#,##0_);[Red]\([$$-409]#,##0\)"/>
    <numFmt numFmtId="167" formatCode="_(* #,##0.0_);_(* \(#,##0.0\);_(* &quot;-&quot;??_);_(@_)"/>
    <numFmt numFmtId="168" formatCode="_(* #,##0_);_(* \(#,##0\);_(* &quot;-&quot;??_);_(@_)"/>
    <numFmt numFmtId="169" formatCode="mm/dd/yy;@"/>
    <numFmt numFmtId="170" formatCode="0.0%"/>
    <numFmt numFmtId="171" formatCode="[$-409]d\-mmm\-yy;@"/>
    <numFmt numFmtId="172" formatCode="#,##0.0"/>
    <numFmt numFmtId="173" formatCode="&quot;$&quot;#,##0.00"/>
    <numFmt numFmtId="174" formatCode="0_);[Red]\(0\)"/>
    <numFmt numFmtId="175" formatCode="[$$-409]#,##0.00"/>
    <numFmt numFmtId="176" formatCode="0_);\(0\)"/>
    <numFmt numFmtId="177" formatCode="&quot;$&quot;#,##0"/>
  </numFmts>
  <fonts count="2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3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8" fillId="0" borderId="0"/>
    <xf numFmtId="0" fontId="4" fillId="0" borderId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3" fillId="0" borderId="0" xfId="0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Protection="1">
      <protection locked="0"/>
    </xf>
    <xf numFmtId="15" fontId="5" fillId="0" borderId="1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/>
    <xf numFmtId="0" fontId="4" fillId="0" borderId="0" xfId="0" applyFont="1" applyAlignment="1">
      <alignment horizontal="center"/>
    </xf>
    <xf numFmtId="15" fontId="5" fillId="0" borderId="2" xfId="0" applyNumberFormat="1" applyFont="1" applyBorder="1" applyAlignment="1" applyProtection="1">
      <alignment horizontal="center"/>
      <protection locked="0"/>
    </xf>
    <xf numFmtId="15" fontId="5" fillId="0" borderId="0" xfId="0" applyNumberFormat="1" applyFont="1" applyBorder="1" applyProtection="1">
      <protection locked="0"/>
    </xf>
    <xf numFmtId="15" fontId="5" fillId="0" borderId="0" xfId="0" applyNumberFormat="1" applyFont="1" applyBorder="1" applyAlignment="1" applyProtection="1">
      <alignment horizontal="center"/>
      <protection locked="0"/>
    </xf>
    <xf numFmtId="15" fontId="4" fillId="0" borderId="0" xfId="0" applyNumberFormat="1" applyFont="1" applyBorder="1" applyProtection="1">
      <protection locked="0"/>
    </xf>
    <xf numFmtId="15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38" fontId="4" fillId="0" borderId="0" xfId="0" applyNumberFormat="1" applyFont="1" applyAlignment="1">
      <alignment horizontal="center"/>
    </xf>
    <xf numFmtId="14" fontId="4" fillId="0" borderId="0" xfId="0" applyNumberFormat="1" applyFont="1"/>
    <xf numFmtId="1" fontId="8" fillId="0" borderId="0" xfId="0" applyNumberFormat="1" applyFont="1"/>
    <xf numFmtId="0" fontId="8" fillId="0" borderId="0" xfId="0" applyFont="1"/>
    <xf numFmtId="0" fontId="4" fillId="0" borderId="0" xfId="0" quotePrefix="1" applyFont="1"/>
    <xf numFmtId="0" fontId="9" fillId="0" borderId="0" xfId="0" applyFont="1"/>
    <xf numFmtId="15" fontId="8" fillId="0" borderId="0" xfId="0" applyNumberFormat="1" applyFont="1" applyBorder="1" applyProtection="1">
      <protection locked="0"/>
    </xf>
    <xf numFmtId="0" fontId="1" fillId="0" borderId="1" xfId="0" applyFont="1" applyBorder="1" applyProtection="1"/>
    <xf numFmtId="0" fontId="1" fillId="0" borderId="0" xfId="0" applyFont="1"/>
    <xf numFmtId="0" fontId="11" fillId="0" borderId="0" xfId="0" applyFont="1"/>
    <xf numFmtId="14" fontId="12" fillId="0" borderId="1" xfId="0" applyNumberFormat="1" applyFont="1" applyBorder="1" applyProtection="1">
      <protection locked="0"/>
    </xf>
    <xf numFmtId="0" fontId="0" fillId="0" borderId="0" xfId="0" applyAlignment="1"/>
    <xf numFmtId="0" fontId="11" fillId="0" borderId="0" xfId="0" applyFont="1" applyAlignment="1">
      <alignment horizontal="center"/>
    </xf>
    <xf numFmtId="0" fontId="13" fillId="0" borderId="0" xfId="0" applyFont="1" applyAlignment="1"/>
    <xf numFmtId="1" fontId="0" fillId="0" borderId="0" xfId="0" applyNumberForma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/>
    <xf numFmtId="0" fontId="13" fillId="0" borderId="0" xfId="0" applyFont="1"/>
    <xf numFmtId="168" fontId="14" fillId="0" borderId="3" xfId="1" applyNumberFormat="1" applyFont="1" applyBorder="1" applyProtection="1">
      <protection locked="0"/>
    </xf>
    <xf numFmtId="1" fontId="13" fillId="0" borderId="0" xfId="0" applyNumberFormat="1" applyFont="1" applyProtection="1"/>
    <xf numFmtId="8" fontId="0" fillId="0" borderId="0" xfId="0" applyNumberFormat="1"/>
    <xf numFmtId="168" fontId="13" fillId="0" borderId="0" xfId="1" applyNumberFormat="1" applyFont="1"/>
    <xf numFmtId="1" fontId="13" fillId="0" borderId="0" xfId="0" applyNumberFormat="1" applyFont="1"/>
    <xf numFmtId="168" fontId="11" fillId="0" borderId="3" xfId="1" applyNumberFormat="1" applyFont="1" applyBorder="1" applyProtection="1"/>
    <xf numFmtId="8" fontId="11" fillId="0" borderId="0" xfId="0" applyNumberFormat="1" applyFont="1"/>
    <xf numFmtId="8" fontId="13" fillId="0" borderId="0" xfId="0" applyNumberFormat="1" applyFont="1"/>
    <xf numFmtId="166" fontId="11" fillId="0" borderId="3" xfId="0" applyNumberFormat="1" applyFont="1" applyBorder="1" applyProtection="1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167" fontId="11" fillId="0" borderId="0" xfId="0" applyNumberFormat="1" applyFont="1" applyBorder="1"/>
    <xf numFmtId="1" fontId="0" fillId="0" borderId="0" xfId="0" applyNumberFormat="1"/>
    <xf numFmtId="165" fontId="15" fillId="0" borderId="3" xfId="0" applyNumberFormat="1" applyFont="1" applyBorder="1" applyProtection="1">
      <protection locked="0"/>
    </xf>
    <xf numFmtId="165" fontId="15" fillId="0" borderId="0" xfId="0" applyNumberFormat="1" applyFont="1" applyBorder="1" applyProtection="1">
      <protection locked="0"/>
    </xf>
    <xf numFmtId="1" fontId="11" fillId="0" borderId="0" xfId="0" applyNumberFormat="1" applyFont="1"/>
    <xf numFmtId="0" fontId="7" fillId="0" borderId="0" xfId="0" applyFont="1"/>
    <xf numFmtId="171" fontId="5" fillId="0" borderId="1" xfId="0" applyNumberFormat="1" applyFont="1" applyBorder="1" applyProtection="1">
      <protection locked="0"/>
    </xf>
    <xf numFmtId="0" fontId="5" fillId="0" borderId="4" xfId="0" applyFont="1" applyBorder="1" applyProtection="1">
      <protection locked="0"/>
    </xf>
    <xf numFmtId="15" fontId="4" fillId="0" borderId="0" xfId="0" applyNumberFormat="1" applyFont="1"/>
    <xf numFmtId="15" fontId="5" fillId="0" borderId="4" xfId="0" applyNumberFormat="1" applyFont="1" applyBorder="1" applyProtection="1">
      <protection locked="0"/>
    </xf>
    <xf numFmtId="15" fontId="2" fillId="0" borderId="0" xfId="0" applyNumberFormat="1" applyFont="1"/>
    <xf numFmtId="170" fontId="4" fillId="0" borderId="0" xfId="7" applyNumberFormat="1" applyFont="1"/>
    <xf numFmtId="10" fontId="2" fillId="0" borderId="0" xfId="7" applyNumberFormat="1" applyFont="1"/>
    <xf numFmtId="2" fontId="8" fillId="0" borderId="0" xfId="0" applyNumberFormat="1" applyFont="1" applyBorder="1"/>
    <xf numFmtId="169" fontId="0" fillId="0" borderId="0" xfId="0" applyNumberFormat="1"/>
    <xf numFmtId="172" fontId="0" fillId="0" borderId="0" xfId="0" applyNumberFormat="1"/>
    <xf numFmtId="164" fontId="5" fillId="0" borderId="4" xfId="0" applyNumberFormat="1" applyFont="1" applyBorder="1" applyProtection="1">
      <protection locked="0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11" fillId="0" borderId="0" xfId="7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9" fontId="4" fillId="0" borderId="1" xfId="7" applyFont="1" applyBorder="1"/>
    <xf numFmtId="0" fontId="10" fillId="0" borderId="0" xfId="0" applyFont="1"/>
    <xf numFmtId="1" fontId="4" fillId="0" borderId="0" xfId="0" applyNumberFormat="1" applyFont="1"/>
    <xf numFmtId="10" fontId="0" fillId="0" borderId="0" xfId="7" applyNumberFormat="1" applyFont="1"/>
    <xf numFmtId="173" fontId="4" fillId="0" borderId="0" xfId="0" applyNumberFormat="1" applyFont="1"/>
    <xf numFmtId="164" fontId="11" fillId="0" borderId="0" xfId="0" applyNumberFormat="1" applyFont="1"/>
    <xf numFmtId="2" fontId="11" fillId="0" borderId="0" xfId="0" applyNumberFormat="1" applyFont="1"/>
    <xf numFmtId="1" fontId="11" fillId="0" borderId="0" xfId="0" applyNumberFormat="1" applyFont="1" applyProtection="1"/>
    <xf numFmtId="0" fontId="13" fillId="0" borderId="0" xfId="0" applyFont="1" applyBorder="1"/>
    <xf numFmtId="168" fontId="13" fillId="0" borderId="0" xfId="1" applyNumberFormat="1" applyFont="1" applyBorder="1"/>
    <xf numFmtId="1" fontId="13" fillId="0" borderId="0" xfId="0" applyNumberFormat="1" applyFont="1" applyBorder="1"/>
    <xf numFmtId="10" fontId="4" fillId="0" borderId="1" xfId="7" applyNumberFormat="1" applyFont="1" applyBorder="1"/>
    <xf numFmtId="170" fontId="7" fillId="0" borderId="1" xfId="7" applyNumberFormat="1" applyFont="1" applyBorder="1"/>
    <xf numFmtId="1" fontId="5" fillId="0" borderId="2" xfId="0" applyNumberFormat="1" applyFont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 applyProtection="1">
      <protection locked="0"/>
    </xf>
    <xf numFmtId="1" fontId="2" fillId="0" borderId="0" xfId="0" applyNumberFormat="1" applyFont="1"/>
    <xf numFmtId="174" fontId="1" fillId="0" borderId="0" xfId="0" applyNumberFormat="1" applyFont="1"/>
    <xf numFmtId="1" fontId="17" fillId="0" borderId="0" xfId="0" applyNumberFormat="1" applyFont="1"/>
    <xf numFmtId="0" fontId="17" fillId="0" borderId="0" xfId="0" applyFont="1"/>
    <xf numFmtId="168" fontId="5" fillId="0" borderId="4" xfId="1" applyNumberFormat="1" applyFont="1" applyBorder="1" applyProtection="1">
      <protection locked="0"/>
    </xf>
    <xf numFmtId="168" fontId="5" fillId="0" borderId="2" xfId="1" applyNumberFormat="1" applyFont="1" applyBorder="1" applyProtection="1">
      <protection locked="0"/>
    </xf>
    <xf numFmtId="168" fontId="4" fillId="0" borderId="0" xfId="1" applyNumberFormat="1" applyFont="1"/>
    <xf numFmtId="168" fontId="9" fillId="0" borderId="0" xfId="1" applyNumberFormat="1" applyFont="1"/>
    <xf numFmtId="168" fontId="7" fillId="0" borderId="0" xfId="1" applyNumberFormat="1" applyFont="1"/>
    <xf numFmtId="168" fontId="2" fillId="0" borderId="5" xfId="1" applyNumberFormat="1" applyFont="1" applyBorder="1"/>
    <xf numFmtId="5" fontId="14" fillId="0" borderId="3" xfId="0" applyNumberFormat="1" applyFont="1" applyBorder="1" applyProtection="1">
      <protection locked="0"/>
    </xf>
    <xf numFmtId="5" fontId="13" fillId="0" borderId="0" xfId="0" applyNumberFormat="1" applyFont="1"/>
    <xf numFmtId="5" fontId="11" fillId="0" borderId="3" xfId="0" applyNumberFormat="1" applyFont="1" applyBorder="1" applyProtection="1"/>
    <xf numFmtId="5" fontId="11" fillId="0" borderId="0" xfId="0" applyNumberFormat="1" applyFont="1" applyAlignment="1" applyProtection="1">
      <alignment horizontal="center"/>
    </xf>
    <xf numFmtId="6" fontId="0" fillId="0" borderId="0" xfId="0" applyNumberFormat="1"/>
    <xf numFmtId="6" fontId="11" fillId="0" borderId="0" xfId="0" applyNumberFormat="1" applyFont="1"/>
    <xf numFmtId="6" fontId="13" fillId="0" borderId="0" xfId="0" applyNumberFormat="1" applyFont="1"/>
    <xf numFmtId="171" fontId="4" fillId="0" borderId="0" xfId="0" applyNumberFormat="1" applyFont="1" applyBorder="1" applyProtection="1"/>
    <xf numFmtId="0" fontId="18" fillId="0" borderId="0" xfId="0" applyFont="1" applyBorder="1" applyProtection="1"/>
    <xf numFmtId="15" fontId="4" fillId="0" borderId="0" xfId="0" applyNumberFormat="1" applyFont="1" applyBorder="1" applyProtection="1"/>
    <xf numFmtId="169" fontId="4" fillId="0" borderId="0" xfId="0" applyNumberFormat="1" applyFont="1" applyBorder="1" applyAlignment="1" applyProtection="1">
      <alignment horizontal="center"/>
    </xf>
    <xf numFmtId="15" fontId="7" fillId="0" borderId="0" xfId="0" applyNumberFormat="1" applyFont="1" applyBorder="1" applyProtection="1">
      <protection locked="0"/>
    </xf>
    <xf numFmtId="168" fontId="0" fillId="0" borderId="0" xfId="0" applyNumberFormat="1"/>
    <xf numFmtId="172" fontId="1" fillId="0" borderId="0" xfId="0" applyNumberFormat="1" applyFont="1"/>
    <xf numFmtId="18" fontId="2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  <xf numFmtId="170" fontId="0" fillId="0" borderId="0" xfId="7" applyNumberFormat="1" applyFont="1"/>
    <xf numFmtId="10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165" fontId="7" fillId="0" borderId="0" xfId="0" applyNumberFormat="1" applyFont="1" applyProtection="1"/>
    <xf numFmtId="165" fontId="19" fillId="0" borderId="3" xfId="0" applyNumberFormat="1" applyFont="1" applyBorder="1" applyProtection="1">
      <protection locked="0"/>
    </xf>
    <xf numFmtId="7" fontId="19" fillId="0" borderId="3" xfId="0" applyNumberFormat="1" applyFont="1" applyBorder="1" applyProtection="1">
      <protection locked="0"/>
    </xf>
    <xf numFmtId="7" fontId="7" fillId="0" borderId="0" xfId="0" applyNumberFormat="1" applyFont="1" applyProtection="1"/>
    <xf numFmtId="5" fontId="7" fillId="0" borderId="0" xfId="0" applyNumberFormat="1" applyFont="1" applyProtection="1"/>
    <xf numFmtId="165" fontId="4" fillId="0" borderId="0" xfId="0" applyNumberFormat="1" applyFont="1"/>
    <xf numFmtId="175" fontId="4" fillId="0" borderId="0" xfId="0" applyNumberFormat="1" applyFont="1"/>
    <xf numFmtId="165" fontId="0" fillId="0" borderId="0" xfId="0" applyNumberFormat="1"/>
    <xf numFmtId="165" fontId="2" fillId="0" borderId="3" xfId="0" applyNumberFormat="1" applyFont="1" applyBorder="1" applyProtection="1"/>
    <xf numFmtId="175" fontId="2" fillId="0" borderId="3" xfId="0" applyNumberFormat="1" applyFont="1" applyBorder="1" applyProtection="1"/>
    <xf numFmtId="7" fontId="2" fillId="0" borderId="0" xfId="0" applyNumberFormat="1" applyFont="1" applyProtection="1"/>
    <xf numFmtId="5" fontId="2" fillId="0" borderId="0" xfId="0" applyNumberFormat="1" applyFont="1" applyProtection="1"/>
    <xf numFmtId="0" fontId="0" fillId="0" borderId="0" xfId="0" applyFill="1"/>
    <xf numFmtId="0" fontId="4" fillId="0" borderId="0" xfId="0" applyFont="1" applyFill="1"/>
    <xf numFmtId="37" fontId="19" fillId="0" borderId="3" xfId="0" applyNumberFormat="1" applyFont="1" applyFill="1" applyBorder="1" applyProtection="1">
      <protection locked="0"/>
    </xf>
    <xf numFmtId="168" fontId="4" fillId="0" borderId="0" xfId="1" applyNumberFormat="1" applyFont="1" applyFill="1"/>
    <xf numFmtId="37" fontId="20" fillId="0" borderId="0" xfId="0" applyNumberFormat="1" applyFont="1" applyFill="1" applyProtection="1">
      <protection locked="0"/>
    </xf>
    <xf numFmtId="37" fontId="20" fillId="0" borderId="0" xfId="0" applyNumberFormat="1" applyFont="1" applyFill="1" applyProtection="1"/>
    <xf numFmtId="37" fontId="4" fillId="0" borderId="0" xfId="0" applyNumberFormat="1" applyFont="1" applyFill="1" applyProtection="1"/>
    <xf numFmtId="37" fontId="21" fillId="0" borderId="0" xfId="0" applyNumberFormat="1" applyFont="1" applyFill="1" applyProtection="1"/>
    <xf numFmtId="37" fontId="2" fillId="0" borderId="0" xfId="0" applyNumberFormat="1" applyFont="1" applyFill="1" applyProtection="1"/>
    <xf numFmtId="1" fontId="4" fillId="0" borderId="0" xfId="0" applyNumberFormat="1" applyFont="1" applyBorder="1" applyProtection="1"/>
    <xf numFmtId="0" fontId="2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 applyProtection="1">
      <alignment horizontal="center"/>
    </xf>
    <xf numFmtId="7" fontId="7" fillId="0" borderId="0" xfId="0" applyNumberFormat="1" applyFont="1" applyFill="1" applyProtection="1"/>
    <xf numFmtId="7" fontId="2" fillId="0" borderId="3" xfId="0" applyNumberFormat="1" applyFont="1" applyFill="1" applyBorder="1" applyProtection="1"/>
    <xf numFmtId="7" fontId="2" fillId="0" borderId="0" xfId="0" applyNumberFormat="1" applyFont="1" applyFill="1" applyProtection="1"/>
    <xf numFmtId="1" fontId="2" fillId="0" borderId="0" xfId="0" applyNumberFormat="1" applyFont="1" applyBorder="1" applyProtection="1"/>
    <xf numFmtId="0" fontId="2" fillId="0" borderId="0" xfId="0" applyFont="1" applyFill="1"/>
    <xf numFmtId="37" fontId="4" fillId="0" borderId="0" xfId="0" applyNumberFormat="1" applyFont="1" applyFill="1"/>
    <xf numFmtId="1" fontId="2" fillId="0" borderId="0" xfId="0" applyNumberFormat="1" applyFont="1" applyBorder="1" applyAlignment="1" applyProtection="1">
      <alignment horizontal="left"/>
    </xf>
    <xf numFmtId="9" fontId="0" fillId="0" borderId="0" xfId="7" applyFont="1"/>
    <xf numFmtId="43" fontId="0" fillId="0" borderId="0" xfId="1" applyFont="1"/>
    <xf numFmtId="15" fontId="5" fillId="0" borderId="0" xfId="0" applyNumberFormat="1" applyFont="1" applyBorder="1" applyProtection="1"/>
    <xf numFmtId="0" fontId="21" fillId="0" borderId="0" xfId="5" applyFont="1" applyAlignment="1">
      <alignment horizontal="center" wrapText="1"/>
    </xf>
    <xf numFmtId="0" fontId="18" fillId="0" borderId="0" xfId="5"/>
    <xf numFmtId="0" fontId="23" fillId="0" borderId="0" xfId="5" applyFont="1"/>
    <xf numFmtId="0" fontId="7" fillId="0" borderId="0" xfId="6" applyFont="1" applyAlignment="1">
      <alignment horizontal="center"/>
    </xf>
    <xf numFmtId="0" fontId="2" fillId="0" borderId="0" xfId="6" applyFont="1" applyBorder="1" applyAlignment="1" applyProtection="1">
      <alignment horizontal="left"/>
    </xf>
    <xf numFmtId="0" fontId="13" fillId="0" borderId="0" xfId="5" applyFont="1"/>
    <xf numFmtId="176" fontId="7" fillId="0" borderId="0" xfId="1" applyNumberFormat="1" applyFont="1" applyBorder="1" applyProtection="1">
      <protection locked="0"/>
    </xf>
    <xf numFmtId="0" fontId="20" fillId="0" borderId="0" xfId="5" applyFont="1"/>
    <xf numFmtId="0" fontId="21" fillId="0" borderId="0" xfId="5" applyFont="1"/>
    <xf numFmtId="0" fontId="20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20" fillId="0" borderId="6" xfId="5" applyFont="1" applyBorder="1"/>
    <xf numFmtId="0" fontId="20" fillId="0" borderId="6" xfId="5" applyFont="1" applyBorder="1" applyAlignment="1">
      <alignment horizontal="center"/>
    </xf>
    <xf numFmtId="0" fontId="20" fillId="0" borderId="1" xfId="5" applyFont="1" applyBorder="1" applyAlignment="1">
      <alignment horizontal="center"/>
    </xf>
    <xf numFmtId="38" fontId="24" fillId="0" borderId="7" xfId="5" applyNumberFormat="1" applyFont="1" applyBorder="1" applyProtection="1">
      <protection locked="0"/>
    </xf>
    <xf numFmtId="38" fontId="24" fillId="0" borderId="2" xfId="5" applyNumberFormat="1" applyFont="1" applyBorder="1" applyProtection="1">
      <protection locked="0"/>
    </xf>
    <xf numFmtId="3" fontId="20" fillId="0" borderId="0" xfId="5" applyNumberFormat="1" applyFont="1" applyBorder="1"/>
    <xf numFmtId="38" fontId="7" fillId="0" borderId="2" xfId="5" applyNumberFormat="1" applyFont="1" applyBorder="1"/>
    <xf numFmtId="38" fontId="24" fillId="0" borderId="0" xfId="5" applyNumberFormat="1" applyFont="1" applyBorder="1"/>
    <xf numFmtId="38" fontId="7" fillId="0" borderId="0" xfId="5" applyNumberFormat="1" applyFont="1" applyBorder="1"/>
    <xf numFmtId="0" fontId="7" fillId="0" borderId="0" xfId="5" applyFont="1"/>
    <xf numFmtId="6" fontId="7" fillId="0" borderId="0" xfId="5" applyNumberFormat="1" applyFont="1" applyBorder="1"/>
    <xf numFmtId="3" fontId="21" fillId="0" borderId="0" xfId="5" applyNumberFormat="1" applyFont="1"/>
    <xf numFmtId="4" fontId="21" fillId="0" borderId="0" xfId="5" applyNumberFormat="1" applyFont="1"/>
    <xf numFmtId="0" fontId="24" fillId="0" borderId="2" xfId="5" applyFont="1" applyBorder="1" applyProtection="1">
      <protection locked="0"/>
    </xf>
    <xf numFmtId="8" fontId="24" fillId="0" borderId="2" xfId="5" applyNumberFormat="1" applyFont="1" applyBorder="1" applyProtection="1">
      <protection locked="0"/>
    </xf>
    <xf numFmtId="6" fontId="7" fillId="0" borderId="0" xfId="5" applyNumberFormat="1" applyFont="1"/>
    <xf numFmtId="0" fontId="24" fillId="0" borderId="0" xfId="5" applyFont="1" applyBorder="1" applyProtection="1">
      <protection locked="0"/>
    </xf>
    <xf numFmtId="38" fontId="24" fillId="0" borderId="0" xfId="5" applyNumberFormat="1" applyFont="1" applyBorder="1" applyProtection="1">
      <protection locked="0"/>
    </xf>
    <xf numFmtId="8" fontId="24" fillId="0" borderId="0" xfId="5" applyNumberFormat="1" applyFont="1" applyBorder="1"/>
    <xf numFmtId="6" fontId="2" fillId="0" borderId="0" xfId="5" applyNumberFormat="1" applyFont="1"/>
    <xf numFmtId="0" fontId="2" fillId="0" borderId="0" xfId="5" applyFont="1"/>
    <xf numFmtId="38" fontId="7" fillId="0" borderId="0" xfId="0" applyNumberFormat="1" applyFont="1"/>
    <xf numFmtId="3" fontId="7" fillId="0" borderId="0" xfId="0" applyNumberFormat="1" applyFont="1"/>
    <xf numFmtId="43" fontId="2" fillId="0" borderId="0" xfId="0" applyNumberFormat="1" applyFont="1"/>
    <xf numFmtId="38" fontId="2" fillId="0" borderId="0" xfId="0" applyNumberFormat="1" applyFont="1"/>
    <xf numFmtId="168" fontId="2" fillId="0" borderId="0" xfId="0" applyNumberFormat="1" applyFont="1"/>
    <xf numFmtId="40" fontId="2" fillId="0" borderId="0" xfId="0" applyNumberFormat="1" applyFont="1"/>
    <xf numFmtId="40" fontId="7" fillId="0" borderId="0" xfId="0" applyNumberFormat="1" applyFont="1"/>
    <xf numFmtId="170" fontId="2" fillId="0" borderId="0" xfId="7" applyNumberFormat="1" applyFont="1"/>
    <xf numFmtId="6" fontId="24" fillId="0" borderId="2" xfId="5" applyNumberFormat="1" applyFont="1" applyBorder="1" applyProtection="1">
      <protection locked="0"/>
    </xf>
    <xf numFmtId="38" fontId="2" fillId="0" borderId="0" xfId="5" applyNumberFormat="1" applyFont="1"/>
    <xf numFmtId="38" fontId="21" fillId="0" borderId="0" xfId="5" applyNumberFormat="1" applyFont="1"/>
    <xf numFmtId="170" fontId="4" fillId="0" borderId="0" xfId="0" applyNumberFormat="1" applyFont="1"/>
    <xf numFmtId="40" fontId="4" fillId="0" borderId="0" xfId="0" applyNumberFormat="1" applyFont="1"/>
    <xf numFmtId="0" fontId="25" fillId="0" borderId="0" xfId="3" applyFont="1"/>
    <xf numFmtId="38" fontId="4" fillId="0" borderId="0" xfId="3" applyNumberFormat="1" applyFont="1" applyBorder="1" applyProtection="1"/>
    <xf numFmtId="0" fontId="13" fillId="0" borderId="0" xfId="3"/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Border="1" applyAlignment="1">
      <alignment horizontal="center"/>
    </xf>
    <xf numFmtId="0" fontId="2" fillId="0" borderId="0" xfId="3" applyFont="1" applyAlignment="1">
      <alignment horizontal="center"/>
    </xf>
    <xf numFmtId="38" fontId="19" fillId="0" borderId="4" xfId="3" applyNumberFormat="1" applyFont="1" applyBorder="1" applyProtection="1">
      <protection locked="0"/>
    </xf>
    <xf numFmtId="177" fontId="19" fillId="0" borderId="4" xfId="3" applyNumberFormat="1" applyFont="1" applyBorder="1" applyProtection="1">
      <protection locked="0"/>
    </xf>
    <xf numFmtId="173" fontId="4" fillId="0" borderId="0" xfId="3" applyNumberFormat="1" applyFont="1"/>
    <xf numFmtId="0" fontId="2" fillId="0" borderId="0" xfId="3" applyFont="1"/>
    <xf numFmtId="3" fontId="2" fillId="0" borderId="0" xfId="3" applyNumberFormat="1" applyFont="1" applyBorder="1"/>
    <xf numFmtId="177" fontId="2" fillId="0" borderId="0" xfId="3" applyNumberFormat="1" applyFont="1" applyBorder="1"/>
    <xf numFmtId="173" fontId="2" fillId="0" borderId="0" xfId="3" applyNumberFormat="1" applyFont="1" applyBorder="1"/>
    <xf numFmtId="3" fontId="19" fillId="0" borderId="4" xfId="3" applyNumberFormat="1" applyFont="1" applyBorder="1" applyProtection="1">
      <protection locked="0"/>
    </xf>
    <xf numFmtId="40" fontId="2" fillId="0" borderId="0" xfId="3" applyNumberFormat="1" applyFont="1" applyBorder="1"/>
    <xf numFmtId="3" fontId="4" fillId="0" borderId="0" xfId="3" applyNumberFormat="1" applyFont="1" applyBorder="1"/>
    <xf numFmtId="40" fontId="4" fillId="0" borderId="0" xfId="3" applyNumberFormat="1" applyFont="1" applyBorder="1"/>
    <xf numFmtId="177" fontId="4" fillId="0" borderId="0" xfId="3" applyNumberFormat="1" applyFont="1"/>
    <xf numFmtId="177" fontId="2" fillId="0" borderId="0" xfId="2" applyNumberFormat="1" applyFont="1" applyBorder="1"/>
    <xf numFmtId="173" fontId="2" fillId="0" borderId="0" xfId="3" applyNumberFormat="1" applyFont="1"/>
    <xf numFmtId="0" fontId="0" fillId="0" borderId="0" xfId="0" applyFont="1"/>
    <xf numFmtId="0" fontId="6" fillId="0" borderId="0" xfId="4" applyFont="1"/>
    <xf numFmtId="0" fontId="2" fillId="0" borderId="0" xfId="4" applyFont="1" applyAlignment="1">
      <alignment horizontal="center"/>
    </xf>
    <xf numFmtId="0" fontId="2" fillId="0" borderId="0" xfId="4" applyFont="1"/>
    <xf numFmtId="0" fontId="28" fillId="0" borderId="0" xfId="0" applyFont="1"/>
    <xf numFmtId="3" fontId="2" fillId="0" borderId="0" xfId="4" applyNumberFormat="1" applyFont="1" applyAlignment="1">
      <alignment horizontal="right"/>
    </xf>
    <xf numFmtId="3" fontId="4" fillId="0" borderId="4" xfId="3" applyNumberFormat="1" applyFont="1" applyBorder="1"/>
    <xf numFmtId="3" fontId="4" fillId="0" borderId="0" xfId="3" applyNumberFormat="1" applyFont="1"/>
    <xf numFmtId="3" fontId="2" fillId="0" borderId="0" xfId="3" applyNumberFormat="1" applyFont="1"/>
    <xf numFmtId="3" fontId="4" fillId="0" borderId="0" xfId="3" applyNumberFormat="1" applyFont="1" applyAlignment="1">
      <alignment horizontal="center"/>
    </xf>
    <xf numFmtId="168" fontId="2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 applyProtection="1"/>
    <xf numFmtId="0" fontId="22" fillId="0" borderId="0" xfId="0" applyFont="1" applyAlignment="1">
      <alignment horizontal="center"/>
    </xf>
    <xf numFmtId="0" fontId="21" fillId="0" borderId="0" xfId="5" applyFont="1" applyAlignment="1">
      <alignment horizontal="center"/>
    </xf>
    <xf numFmtId="0" fontId="2" fillId="0" borderId="0" xfId="6" applyFont="1" applyBorder="1" applyAlignment="1" applyProtection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0" fontId="20" fillId="0" borderId="0" xfId="5" applyFont="1" applyAlignment="1">
      <alignment horizontal="center"/>
    </xf>
    <xf numFmtId="43" fontId="4" fillId="0" borderId="0" xfId="1" applyFont="1" applyAlignment="1"/>
    <xf numFmtId="0" fontId="4" fillId="0" borderId="0" xfId="0" applyFont="1" applyAlignment="1"/>
    <xf numFmtId="0" fontId="5" fillId="0" borderId="1" xfId="0" applyFont="1" applyBorder="1" applyAlignment="1" applyProtection="1">
      <protection locked="0"/>
    </xf>
    <xf numFmtId="168" fontId="7" fillId="0" borderId="0" xfId="1" applyNumberFormat="1" applyFont="1" applyProtection="1"/>
    <xf numFmtId="168" fontId="2" fillId="0" borderId="0" xfId="1" applyNumberFormat="1" applyFont="1" applyProtection="1"/>
    <xf numFmtId="168" fontId="4" fillId="0" borderId="0" xfId="1" applyNumberFormat="1" applyFont="1" applyProtection="1"/>
    <xf numFmtId="168" fontId="4" fillId="0" borderId="0" xfId="1" applyNumberFormat="1" applyFont="1" applyFill="1" applyProtection="1"/>
    <xf numFmtId="168" fontId="2" fillId="0" borderId="0" xfId="1" applyNumberFormat="1" applyFont="1" applyFill="1" applyProtection="1"/>
    <xf numFmtId="170" fontId="8" fillId="0" borderId="5" xfId="7" applyNumberFormat="1" applyFont="1" applyBorder="1"/>
  </cellXfs>
  <cellStyles count="8">
    <cellStyle name="Comma" xfId="1" builtinId="3"/>
    <cellStyle name="Currency" xfId="2" builtinId="4"/>
    <cellStyle name="Normal" xfId="0" builtinId="0"/>
    <cellStyle name="Normal 2" xfId="3"/>
    <cellStyle name="Normal 3" xfId="4"/>
    <cellStyle name="Normal_Sheet1" xfId="5"/>
    <cellStyle name="Normal_Sheet1_1" xfId="6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Reproduction Performance Based on Exposed Females</a:t>
            </a:r>
          </a:p>
        </c:rich>
      </c:tx>
      <c:layout>
        <c:manualLayout>
          <c:xMode val="edge"/>
          <c:yMode val="edge"/>
          <c:x val="0.15655339805825244"/>
          <c:y val="3.067493128032152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3737864077669907E-2"/>
          <c:y val="0.1431495701319061"/>
          <c:w val="0.89927184466019416"/>
          <c:h val="0.72392782609563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 SPA Performance Graphs'!$T$15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'7. SPA Performance Graphs'!$U$14:$W$14</c:f>
              <c:strCache>
                <c:ptCount val="3"/>
                <c:pt idx="0">
                  <c:v>Pregnancy</c:v>
                </c:pt>
                <c:pt idx="1">
                  <c:v>Calving</c:v>
                </c:pt>
                <c:pt idx="2">
                  <c:v>Weaning</c:v>
                </c:pt>
              </c:strCache>
            </c:strRef>
          </c:cat>
          <c:val>
            <c:numRef>
              <c:f>'7. SPA Performance Graphs'!$U$15:$W$15</c:f>
              <c:numCache>
                <c:formatCode>0.0%</c:formatCode>
                <c:ptCount val="3"/>
                <c:pt idx="0">
                  <c:v>0.88</c:v>
                </c:pt>
                <c:pt idx="1">
                  <c:v>0.87</c:v>
                </c:pt>
                <c:pt idx="2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F-4E4A-8606-452BF32BD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473568"/>
        <c:axId val="1"/>
        <c:axId val="0"/>
      </c:bar3DChart>
      <c:catAx>
        <c:axId val="18147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473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Cow Death Loss, Pregnancy and Calf Loss </a:t>
            </a:r>
          </a:p>
        </c:rich>
      </c:tx>
      <c:layout>
        <c:manualLayout>
          <c:xMode val="edge"/>
          <c:yMode val="edge"/>
          <c:x val="0.23757597343950745"/>
          <c:y val="2.916669458870832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394057047889492E-2"/>
          <c:y val="0.14583363003261318"/>
          <c:w val="0.88363740960867609"/>
          <c:h val="0.7187514623035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 SPA Performance Graphs'!$S$35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'7. SPA Performance Graphs'!$T$34:$W$34</c:f>
              <c:strCache>
                <c:ptCount val="4"/>
                <c:pt idx="0">
                  <c:v>Cow Death</c:v>
                </c:pt>
                <c:pt idx="2">
                  <c:v>Pregnancy Loss</c:v>
                </c:pt>
                <c:pt idx="3">
                  <c:v>Calf Loss*</c:v>
                </c:pt>
              </c:strCache>
            </c:strRef>
          </c:cat>
          <c:val>
            <c:numRef>
              <c:f>'7. SPA Performance Graphs'!$T$35:$W$35</c:f>
              <c:numCache>
                <c:formatCode>0.00%</c:formatCode>
                <c:ptCount val="4"/>
                <c:pt idx="0">
                  <c:v>0.01</c:v>
                </c:pt>
                <c:pt idx="2">
                  <c:v>1.0000000000000009E-2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1-474E-B90A-F8DEB6A0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7156400"/>
        <c:axId val="1"/>
        <c:axId val="0"/>
      </c:bar3DChart>
      <c:catAx>
        <c:axId val="24715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7156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82550</xdr:rowOff>
    </xdr:from>
    <xdr:to>
      <xdr:col>13</xdr:col>
      <xdr:colOff>565150</xdr:colOff>
      <xdr:row>31</xdr:row>
      <xdr:rowOff>44450</xdr:rowOff>
    </xdr:to>
    <xdr:graphicFrame macro="">
      <xdr:nvGraphicFramePr>
        <xdr:cNvPr id="2153" name="Chart 1">
          <a:extLst>
            <a:ext uri="{FF2B5EF4-FFF2-40B4-BE49-F238E27FC236}">
              <a16:creationId xmlns:a16="http://schemas.microsoft.com/office/drawing/2014/main" id="{68EADE55-0AC1-4252-AA6D-9BAF7C563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35</xdr:row>
      <xdr:rowOff>133350</xdr:rowOff>
    </xdr:from>
    <xdr:to>
      <xdr:col>13</xdr:col>
      <xdr:colOff>584200</xdr:colOff>
      <xdr:row>64</xdr:row>
      <xdr:rowOff>6350</xdr:rowOff>
    </xdr:to>
    <xdr:graphicFrame macro="">
      <xdr:nvGraphicFramePr>
        <xdr:cNvPr id="2154" name="Chart 2">
          <a:extLst>
            <a:ext uri="{FF2B5EF4-FFF2-40B4-BE49-F238E27FC236}">
              <a16:creationId xmlns:a16="http://schemas.microsoft.com/office/drawing/2014/main" id="{E560BBC8-0841-40C1-8601-197BE7678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zoomScaleNormal="100" workbookViewId="0">
      <selection activeCell="H151" sqref="H151"/>
    </sheetView>
  </sheetViews>
  <sheetFormatPr defaultRowHeight="12.5" x14ac:dyDescent="0.25"/>
  <cols>
    <col min="1" max="1" width="6.26953125" customWidth="1"/>
    <col min="2" max="2" width="31.7265625" customWidth="1"/>
    <col min="3" max="3" width="15.81640625" customWidth="1"/>
    <col min="4" max="4" width="12.1796875" customWidth="1"/>
    <col min="5" max="5" width="10.7265625" customWidth="1"/>
    <col min="6" max="6" width="12.453125" customWidth="1"/>
    <col min="7" max="7" width="7.453125" customWidth="1"/>
    <col min="8" max="8" width="10.453125" customWidth="1"/>
    <col min="9" max="9" width="8.1796875" customWidth="1"/>
    <col min="10" max="10" width="10.1796875" bestFit="1" customWidth="1"/>
    <col min="15" max="15" width="11.7265625" customWidth="1"/>
  </cols>
  <sheetData>
    <row r="1" spans="2:15" ht="15.5" x14ac:dyDescent="0.35">
      <c r="B1" s="232" t="s">
        <v>145</v>
      </c>
      <c r="C1" s="233"/>
      <c r="D1" s="233"/>
      <c r="E1" s="233"/>
      <c r="F1" s="233"/>
      <c r="G1" s="233"/>
      <c r="H1" s="233"/>
      <c r="I1" s="233"/>
    </row>
    <row r="3" spans="2:15" ht="15.5" x14ac:dyDescent="0.35">
      <c r="B3" s="4" t="s">
        <v>192</v>
      </c>
      <c r="C3" s="234" t="s">
        <v>357</v>
      </c>
      <c r="D3" s="234"/>
      <c r="E3" s="235"/>
      <c r="F3" s="235"/>
      <c r="G3" s="90" t="s">
        <v>193</v>
      </c>
      <c r="H3" s="89">
        <f ca="1">NOW()</f>
        <v>42803.85326585648</v>
      </c>
      <c r="L3" t="s">
        <v>325</v>
      </c>
    </row>
    <row r="4" spans="2:15" ht="15.5" x14ac:dyDescent="0.35">
      <c r="B4" s="4"/>
      <c r="D4" s="4"/>
      <c r="E4" s="4"/>
      <c r="F4" s="4"/>
      <c r="G4" s="4"/>
      <c r="H4" s="4"/>
      <c r="I4" s="4"/>
    </row>
    <row r="5" spans="2:15" ht="15.5" x14ac:dyDescent="0.35">
      <c r="B5" s="4" t="s">
        <v>191</v>
      </c>
      <c r="C5" s="18"/>
      <c r="D5" s="88">
        <v>2016</v>
      </c>
      <c r="E5" s="4"/>
      <c r="F5" s="4"/>
      <c r="G5" s="4"/>
      <c r="H5" s="4"/>
    </row>
    <row r="6" spans="2:15" ht="15.5" x14ac:dyDescent="0.35">
      <c r="B6" s="4" t="s">
        <v>235</v>
      </c>
      <c r="C6" s="18"/>
      <c r="D6" s="88">
        <v>2017</v>
      </c>
      <c r="E6" s="153" t="s">
        <v>271</v>
      </c>
      <c r="F6" s="4"/>
      <c r="G6" s="4"/>
      <c r="H6" s="4"/>
      <c r="I6" s="88">
        <v>400</v>
      </c>
    </row>
    <row r="7" spans="2:15" ht="16" thickBot="1" x14ac:dyDescent="0.4">
      <c r="B7" s="4" t="s">
        <v>190</v>
      </c>
      <c r="C7" s="4"/>
      <c r="D7" s="4"/>
      <c r="E7" s="4"/>
      <c r="F7" s="4"/>
      <c r="G7" s="4"/>
      <c r="H7" s="4"/>
      <c r="I7" s="4"/>
    </row>
    <row r="8" spans="2:15" ht="16.5" thickTop="1" thickBot="1" x14ac:dyDescent="0.4">
      <c r="B8" s="9" t="s">
        <v>0</v>
      </c>
      <c r="C8" s="4"/>
      <c r="D8" s="4"/>
      <c r="E8" s="4"/>
      <c r="F8" s="56">
        <v>42461</v>
      </c>
      <c r="G8" s="4"/>
      <c r="H8" s="4"/>
      <c r="I8" s="4"/>
    </row>
    <row r="9" spans="2:15" ht="16.5" thickTop="1" thickBot="1" x14ac:dyDescent="0.4">
      <c r="B9" s="4" t="s">
        <v>1</v>
      </c>
      <c r="C9" s="4"/>
      <c r="D9" s="4"/>
      <c r="E9" s="4"/>
      <c r="F9" s="56">
        <f>F8+90</f>
        <v>42551</v>
      </c>
      <c r="G9" s="4"/>
      <c r="H9" s="93">
        <f>F9-F8</f>
        <v>90</v>
      </c>
      <c r="I9" s="94" t="s">
        <v>9</v>
      </c>
      <c r="L9" t="s">
        <v>15</v>
      </c>
      <c r="O9" s="2">
        <f>(F8+283+F9+283)/2</f>
        <v>42789</v>
      </c>
    </row>
    <row r="10" spans="2:15" ht="9" customHeight="1" thickTop="1" thickBot="1" x14ac:dyDescent="0.4">
      <c r="B10" s="4"/>
      <c r="C10" s="4"/>
      <c r="D10" s="4"/>
      <c r="E10" s="4"/>
      <c r="F10" s="154"/>
      <c r="G10" s="4"/>
      <c r="H10" s="93"/>
      <c r="I10" s="94"/>
      <c r="O10" s="2"/>
    </row>
    <row r="11" spans="2:15" ht="16.5" thickTop="1" thickBot="1" x14ac:dyDescent="0.4">
      <c r="B11" s="9" t="s">
        <v>199</v>
      </c>
      <c r="C11" s="4"/>
      <c r="D11" s="4"/>
      <c r="E11" s="4"/>
      <c r="F11" s="56">
        <v>43023</v>
      </c>
      <c r="G11" s="4"/>
      <c r="H11" s="19"/>
      <c r="I11" s="20"/>
      <c r="O11" s="2"/>
    </row>
    <row r="12" spans="2:15" ht="16.5" thickTop="1" thickBot="1" x14ac:dyDescent="0.4">
      <c r="B12" s="4" t="s">
        <v>200</v>
      </c>
      <c r="C12" s="4"/>
      <c r="D12" s="4"/>
      <c r="E12" s="4"/>
      <c r="F12" s="56">
        <v>43024</v>
      </c>
      <c r="G12" s="4"/>
      <c r="H12" s="93">
        <f>F12-F11</f>
        <v>1</v>
      </c>
      <c r="I12" s="94" t="s">
        <v>9</v>
      </c>
      <c r="O12" s="2"/>
    </row>
    <row r="13" spans="2:15" ht="9" customHeight="1" thickTop="1" thickBot="1" x14ac:dyDescent="0.4">
      <c r="B13" s="4"/>
      <c r="C13" s="4"/>
      <c r="D13" s="4"/>
      <c r="E13" s="4"/>
      <c r="F13" s="154"/>
      <c r="G13" s="4"/>
      <c r="H13" s="19"/>
      <c r="I13" s="20"/>
      <c r="O13" s="2"/>
    </row>
    <row r="14" spans="2:15" ht="16.5" thickTop="1" thickBot="1" x14ac:dyDescent="0.4">
      <c r="B14" s="9" t="s">
        <v>203</v>
      </c>
      <c r="C14" s="4"/>
      <c r="D14" s="4"/>
      <c r="E14" s="4"/>
      <c r="F14" s="56">
        <f>F8+283</f>
        <v>42744</v>
      </c>
      <c r="G14" s="4"/>
      <c r="H14" s="4"/>
      <c r="I14" s="4"/>
    </row>
    <row r="15" spans="2:15" ht="16.5" thickTop="1" thickBot="1" x14ac:dyDescent="0.4">
      <c r="B15" s="4" t="s">
        <v>204</v>
      </c>
      <c r="C15" s="4"/>
      <c r="D15" s="4"/>
      <c r="E15" s="4"/>
      <c r="F15" s="56">
        <f>F14+90</f>
        <v>42834</v>
      </c>
      <c r="G15" s="4"/>
      <c r="H15" s="92">
        <f>F15-F14</f>
        <v>90</v>
      </c>
      <c r="I15" s="94" t="s">
        <v>9</v>
      </c>
    </row>
    <row r="16" spans="2:15" ht="9" customHeight="1" thickTop="1" thickBot="1" x14ac:dyDescent="0.4">
      <c r="B16" s="4"/>
      <c r="C16" s="4"/>
      <c r="D16" s="4"/>
      <c r="E16" s="4"/>
      <c r="F16" s="154"/>
      <c r="G16" s="4"/>
      <c r="H16" s="92"/>
      <c r="I16" s="94"/>
    </row>
    <row r="17" spans="1:9" ht="16.5" thickTop="1" thickBot="1" x14ac:dyDescent="0.4">
      <c r="B17" s="9" t="s">
        <v>198</v>
      </c>
      <c r="C17" s="4"/>
      <c r="D17" s="4"/>
      <c r="E17" s="4"/>
      <c r="F17" s="56">
        <v>43009</v>
      </c>
      <c r="G17" s="4"/>
      <c r="H17" s="4"/>
      <c r="I17" s="4"/>
    </row>
    <row r="18" spans="1:9" ht="16.5" thickTop="1" thickBot="1" x14ac:dyDescent="0.4">
      <c r="B18" s="4" t="s">
        <v>197</v>
      </c>
      <c r="C18" s="4"/>
      <c r="D18" s="4"/>
      <c r="E18" s="4"/>
      <c r="F18" s="56">
        <v>43012</v>
      </c>
      <c r="G18" s="4"/>
      <c r="H18" s="92">
        <f>F18-F17</f>
        <v>3</v>
      </c>
      <c r="I18" s="94" t="s">
        <v>9</v>
      </c>
    </row>
    <row r="19" spans="1:9" ht="16" thickTop="1" x14ac:dyDescent="0.35">
      <c r="B19" s="4" t="s">
        <v>69</v>
      </c>
      <c r="C19" s="4"/>
      <c r="D19" s="4"/>
      <c r="E19" s="4"/>
      <c r="F19" s="4"/>
      <c r="G19" s="4"/>
      <c r="H19" s="4"/>
      <c r="I19" s="4"/>
    </row>
    <row r="20" spans="1:9" ht="15" customHeight="1" thickBot="1" x14ac:dyDescent="0.4">
      <c r="A20" s="9"/>
      <c r="B20" s="4" t="s">
        <v>96</v>
      </c>
      <c r="C20" s="4"/>
      <c r="D20" s="4"/>
      <c r="E20" s="4"/>
      <c r="F20" s="4"/>
      <c r="G20" s="4"/>
      <c r="H20" s="4"/>
      <c r="I20" s="4"/>
    </row>
    <row r="21" spans="1:9" ht="15" customHeight="1" thickTop="1" thickBot="1" x14ac:dyDescent="0.4">
      <c r="A21" s="68" t="s">
        <v>208</v>
      </c>
      <c r="B21" s="4" t="s">
        <v>97</v>
      </c>
      <c r="C21" s="55" t="str">
        <f>IF(F80=0," ",F8)</f>
        <v xml:space="preserve"> </v>
      </c>
      <c r="D21" s="4"/>
      <c r="E21" s="4"/>
      <c r="F21" s="95">
        <v>352</v>
      </c>
      <c r="G21" s="4"/>
      <c r="H21" s="4"/>
      <c r="I21" s="4"/>
    </row>
    <row r="22" spans="1:9" ht="15" customHeight="1" thickTop="1" thickBot="1" x14ac:dyDescent="0.4">
      <c r="A22" s="69"/>
      <c r="B22" s="4" t="s">
        <v>79</v>
      </c>
      <c r="C22" s="4"/>
      <c r="D22" s="4"/>
      <c r="E22" s="4"/>
      <c r="F22" s="95">
        <v>48</v>
      </c>
      <c r="G22" s="4"/>
      <c r="H22" s="97">
        <f>F21+F22</f>
        <v>400</v>
      </c>
      <c r="I22" s="52" t="s">
        <v>11</v>
      </c>
    </row>
    <row r="23" spans="1:9" ht="16" thickTop="1" x14ac:dyDescent="0.35">
      <c r="A23" s="69"/>
      <c r="B23" s="4"/>
      <c r="C23" s="4"/>
      <c r="D23" s="4"/>
      <c r="E23" s="4"/>
      <c r="F23" s="4"/>
      <c r="G23" s="4"/>
      <c r="H23" s="4"/>
      <c r="I23" s="4"/>
    </row>
    <row r="24" spans="1:9" ht="15" customHeight="1" thickBot="1" x14ac:dyDescent="0.4">
      <c r="A24" s="68" t="s">
        <v>209</v>
      </c>
      <c r="B24" s="4" t="s">
        <v>80</v>
      </c>
      <c r="C24" s="4"/>
      <c r="D24" s="4"/>
      <c r="E24" s="4"/>
      <c r="F24" s="4"/>
      <c r="G24" s="4"/>
      <c r="H24" s="4"/>
      <c r="I24" s="4"/>
    </row>
    <row r="25" spans="1:9" ht="15" customHeight="1" thickTop="1" thickBot="1" x14ac:dyDescent="0.4">
      <c r="A25" s="69"/>
      <c r="B25" s="4" t="s">
        <v>184</v>
      </c>
      <c r="C25" s="4"/>
      <c r="D25" s="4"/>
      <c r="E25" s="4"/>
      <c r="F25" s="54"/>
      <c r="G25" s="4"/>
      <c r="H25" s="4"/>
      <c r="I25" s="4"/>
    </row>
    <row r="26" spans="1:9" ht="15" customHeight="1" thickTop="1" x14ac:dyDescent="0.35">
      <c r="A26" s="69"/>
      <c r="B26" s="4"/>
      <c r="C26" s="4"/>
      <c r="D26" s="4"/>
      <c r="E26" s="4"/>
      <c r="F26" s="7"/>
      <c r="G26" s="4"/>
      <c r="H26" s="4"/>
      <c r="I26" s="4"/>
    </row>
    <row r="27" spans="1:9" ht="15" customHeight="1" thickBot="1" x14ac:dyDescent="0.4">
      <c r="A27" s="68" t="s">
        <v>210</v>
      </c>
      <c r="B27" s="4" t="s">
        <v>70</v>
      </c>
      <c r="C27" s="4"/>
      <c r="D27" s="4"/>
      <c r="E27" s="4"/>
      <c r="G27" s="4"/>
      <c r="H27" s="4"/>
      <c r="I27" s="4"/>
    </row>
    <row r="28" spans="1:9" ht="15" customHeight="1" thickTop="1" thickBot="1" x14ac:dyDescent="0.4">
      <c r="A28" s="69"/>
      <c r="B28" s="4" t="s">
        <v>71</v>
      </c>
      <c r="C28" s="4"/>
      <c r="D28" s="4"/>
      <c r="E28" s="4"/>
      <c r="F28" s="54"/>
      <c r="G28" s="4"/>
      <c r="H28" s="4"/>
      <c r="I28" s="4"/>
    </row>
    <row r="29" spans="1:9" ht="15" customHeight="1" thickTop="1" x14ac:dyDescent="0.35">
      <c r="A29" s="69"/>
      <c r="B29" s="4"/>
      <c r="C29" s="4"/>
      <c r="D29" s="4"/>
      <c r="E29" s="4"/>
      <c r="F29" s="7"/>
      <c r="G29" s="4"/>
      <c r="H29" s="4"/>
      <c r="I29" s="4"/>
    </row>
    <row r="30" spans="1:9" ht="15" customHeight="1" thickBot="1" x14ac:dyDescent="0.4">
      <c r="A30" s="68" t="s">
        <v>211</v>
      </c>
      <c r="B30" s="4" t="s">
        <v>72</v>
      </c>
      <c r="H30" s="4"/>
      <c r="I30" s="4"/>
    </row>
    <row r="31" spans="1:9" ht="15" customHeight="1" thickTop="1" thickBot="1" x14ac:dyDescent="0.4">
      <c r="A31" s="69"/>
      <c r="B31" s="4" t="s">
        <v>73</v>
      </c>
      <c r="C31" s="4"/>
      <c r="D31" s="4"/>
      <c r="E31" s="21"/>
      <c r="F31" s="54"/>
      <c r="G31" s="4"/>
      <c r="H31" s="4"/>
      <c r="I31" s="4"/>
    </row>
    <row r="32" spans="1:9" ht="15" customHeight="1" thickTop="1" x14ac:dyDescent="0.35">
      <c r="A32" s="69"/>
      <c r="B32" s="4"/>
      <c r="C32" s="4"/>
      <c r="D32" s="4"/>
      <c r="E32" s="21"/>
      <c r="F32" s="7"/>
      <c r="G32" s="4"/>
      <c r="H32" s="4"/>
      <c r="I32" s="4"/>
    </row>
    <row r="33" spans="1:9" ht="15" customHeight="1" x14ac:dyDescent="0.35">
      <c r="A33" s="69"/>
      <c r="B33" s="4" t="s">
        <v>75</v>
      </c>
      <c r="C33" s="4"/>
      <c r="D33" s="4"/>
      <c r="E33" s="21"/>
      <c r="F33" s="7"/>
      <c r="G33" s="4"/>
      <c r="H33" s="97">
        <f>F21+F22-F25-F28+F31</f>
        <v>400</v>
      </c>
      <c r="I33" s="52" t="s">
        <v>11</v>
      </c>
    </row>
    <row r="34" spans="1:9" ht="15" customHeight="1" x14ac:dyDescent="0.35">
      <c r="A34" s="69"/>
      <c r="B34" s="4"/>
      <c r="C34" s="4"/>
      <c r="D34" s="4"/>
      <c r="E34" s="21"/>
      <c r="F34" s="7"/>
      <c r="G34" s="4"/>
      <c r="H34" s="4"/>
      <c r="I34" s="4"/>
    </row>
    <row r="35" spans="1:9" ht="15" customHeight="1" x14ac:dyDescent="0.35">
      <c r="A35" s="69"/>
      <c r="B35" s="20" t="s">
        <v>74</v>
      </c>
      <c r="C35" s="4"/>
      <c r="D35" s="4"/>
      <c r="E35" s="21"/>
      <c r="F35" s="7"/>
      <c r="G35" s="4"/>
      <c r="H35" s="4"/>
      <c r="I35" s="4"/>
    </row>
    <row r="36" spans="1:9" ht="15" customHeight="1" x14ac:dyDescent="0.35">
      <c r="A36" s="69"/>
      <c r="B36" s="52" t="s">
        <v>233</v>
      </c>
      <c r="D36" s="4"/>
      <c r="E36" s="21"/>
      <c r="F36" s="55">
        <f>IF(F9=0," ",F9)</f>
        <v>42551</v>
      </c>
      <c r="G36" s="4"/>
      <c r="H36" s="4"/>
      <c r="I36" s="4"/>
    </row>
    <row r="37" spans="1:9" ht="15" customHeight="1" x14ac:dyDescent="0.35">
      <c r="A37" s="69"/>
      <c r="B37" s="52" t="s">
        <v>147</v>
      </c>
      <c r="D37" s="4"/>
      <c r="E37" s="21"/>
      <c r="F37" s="55">
        <f>IF(F8=0," ",F8+283)</f>
        <v>42744</v>
      </c>
      <c r="G37" s="4"/>
      <c r="H37" s="4"/>
      <c r="I37" s="4"/>
    </row>
    <row r="38" spans="1:9" ht="15" customHeight="1" thickBot="1" x14ac:dyDescent="0.4">
      <c r="A38" s="69"/>
      <c r="B38" s="52"/>
      <c r="D38" s="4"/>
      <c r="E38" s="21"/>
      <c r="F38" s="55"/>
      <c r="G38" s="4"/>
      <c r="H38" s="4"/>
      <c r="I38" s="4"/>
    </row>
    <row r="39" spans="1:9" ht="15" customHeight="1" thickTop="1" thickBot="1" x14ac:dyDescent="0.4">
      <c r="A39" s="115" t="s">
        <v>212</v>
      </c>
      <c r="B39" s="52" t="s">
        <v>76</v>
      </c>
      <c r="D39" s="4"/>
      <c r="E39" s="21"/>
      <c r="F39" s="54">
        <v>44</v>
      </c>
      <c r="G39" s="4"/>
      <c r="H39" s="4"/>
      <c r="I39" s="4"/>
    </row>
    <row r="40" spans="1:9" ht="15" customHeight="1" thickTop="1" thickBot="1" x14ac:dyDescent="0.4">
      <c r="A40" s="69"/>
      <c r="B40" s="52"/>
      <c r="D40" s="4"/>
      <c r="E40" s="21"/>
      <c r="F40" s="55"/>
      <c r="G40" s="4"/>
      <c r="H40" s="4"/>
      <c r="I40" s="4"/>
    </row>
    <row r="41" spans="1:9" ht="15" customHeight="1" thickTop="1" thickBot="1" x14ac:dyDescent="0.4">
      <c r="A41" s="69" t="s">
        <v>213</v>
      </c>
      <c r="B41" s="52" t="s">
        <v>81</v>
      </c>
      <c r="D41" s="4"/>
      <c r="E41" s="21"/>
      <c r="F41" s="54"/>
      <c r="G41" s="4"/>
      <c r="H41" s="4"/>
      <c r="I41" s="4"/>
    </row>
    <row r="42" spans="1:9" ht="15" customHeight="1" thickTop="1" x14ac:dyDescent="0.35">
      <c r="A42" s="69"/>
      <c r="B42" s="52"/>
      <c r="D42" s="4"/>
      <c r="E42" s="21"/>
      <c r="F42" s="55"/>
      <c r="G42" s="4"/>
      <c r="H42" s="4"/>
      <c r="I42" s="4"/>
    </row>
    <row r="43" spans="1:9" ht="15" customHeight="1" thickBot="1" x14ac:dyDescent="0.4">
      <c r="A43" s="69" t="s">
        <v>214</v>
      </c>
      <c r="B43" s="4" t="s">
        <v>77</v>
      </c>
      <c r="C43" s="4"/>
      <c r="D43" s="4"/>
      <c r="E43" s="21"/>
      <c r="F43" s="7"/>
      <c r="G43" s="4"/>
      <c r="H43" s="4"/>
      <c r="I43" s="4"/>
    </row>
    <row r="44" spans="1:9" ht="15" customHeight="1" thickTop="1" thickBot="1" x14ac:dyDescent="0.4">
      <c r="A44" s="69"/>
      <c r="B44" s="4" t="s">
        <v>78</v>
      </c>
      <c r="C44" s="4"/>
      <c r="D44" s="4"/>
      <c r="E44" s="21"/>
      <c r="F44" s="54"/>
      <c r="G44" s="4"/>
      <c r="H44" s="4"/>
      <c r="I44" s="4"/>
    </row>
    <row r="45" spans="1:9" ht="15" customHeight="1" thickTop="1" x14ac:dyDescent="0.35">
      <c r="A45" s="69"/>
      <c r="B45" s="4"/>
      <c r="C45" s="4"/>
      <c r="D45" s="4"/>
      <c r="E45" s="21"/>
      <c r="F45" s="7"/>
      <c r="G45" s="4"/>
      <c r="H45" s="4"/>
      <c r="I45" s="4"/>
    </row>
    <row r="46" spans="1:9" ht="15.5" x14ac:dyDescent="0.35">
      <c r="A46" s="69" t="s">
        <v>215</v>
      </c>
      <c r="B46" s="4" t="s">
        <v>83</v>
      </c>
      <c r="C46" s="4"/>
      <c r="D46" s="4"/>
      <c r="E46" s="4"/>
      <c r="F46" s="4"/>
      <c r="G46" s="4"/>
      <c r="H46" s="4">
        <f>SUM(F39:F44)</f>
        <v>44</v>
      </c>
      <c r="I46" s="52" t="s">
        <v>11</v>
      </c>
    </row>
    <row r="47" spans="1:9" ht="15.5" x14ac:dyDescent="0.35">
      <c r="A47" s="69"/>
      <c r="C47" s="4"/>
      <c r="D47" s="4"/>
      <c r="E47" s="4"/>
      <c r="F47" s="4"/>
      <c r="G47" s="4"/>
      <c r="H47" s="4"/>
      <c r="I47" s="4"/>
    </row>
    <row r="48" spans="1:9" ht="16" thickBot="1" x14ac:dyDescent="0.4">
      <c r="A48" s="68" t="s">
        <v>216</v>
      </c>
      <c r="B48" s="4" t="s">
        <v>82</v>
      </c>
      <c r="C48" s="4"/>
      <c r="D48" s="4"/>
      <c r="E48" s="4"/>
      <c r="F48" s="4"/>
      <c r="G48" s="4"/>
      <c r="H48" s="4"/>
      <c r="I48" s="4"/>
    </row>
    <row r="49" spans="1:9" ht="16.5" thickTop="1" thickBot="1" x14ac:dyDescent="0.4">
      <c r="A49" s="69"/>
      <c r="B49" s="4" t="s">
        <v>185</v>
      </c>
      <c r="D49" s="55">
        <f>IF(F9=0," ",F9)</f>
        <v>42551</v>
      </c>
      <c r="E49" s="4"/>
      <c r="F49" s="54"/>
      <c r="G49" s="4"/>
      <c r="H49" s="4"/>
      <c r="I49" s="4"/>
    </row>
    <row r="50" spans="1:9" ht="16" thickTop="1" x14ac:dyDescent="0.35">
      <c r="A50" s="69"/>
      <c r="B50" s="4"/>
      <c r="C50" s="55"/>
      <c r="D50" s="4"/>
      <c r="E50" s="4"/>
      <c r="F50" s="7"/>
      <c r="G50" s="4"/>
      <c r="H50" s="4"/>
      <c r="I50" s="4"/>
    </row>
    <row r="51" spans="1:9" ht="15.5" x14ac:dyDescent="0.35">
      <c r="A51" s="69"/>
      <c r="B51" s="9" t="s">
        <v>84</v>
      </c>
      <c r="C51" s="55"/>
      <c r="D51" s="4"/>
      <c r="E51" s="4"/>
      <c r="F51" s="7"/>
      <c r="G51" s="4"/>
      <c r="H51" s="4"/>
      <c r="I51" s="4"/>
    </row>
    <row r="52" spans="1:9" ht="15.5" x14ac:dyDescent="0.35">
      <c r="A52" s="69"/>
      <c r="B52" s="9" t="s">
        <v>183</v>
      </c>
      <c r="C52" s="55"/>
      <c r="D52" s="112">
        <f>F37</f>
        <v>42744</v>
      </c>
      <c r="E52" s="4"/>
      <c r="G52" s="4"/>
      <c r="H52" s="4"/>
      <c r="I52" s="4"/>
    </row>
    <row r="53" spans="1:9" ht="15.5" x14ac:dyDescent="0.35">
      <c r="A53" s="69"/>
      <c r="B53" s="4"/>
      <c r="C53" s="55"/>
      <c r="D53" s="4"/>
      <c r="E53" s="4"/>
      <c r="F53" s="7"/>
      <c r="G53" s="4"/>
      <c r="H53" s="4"/>
      <c r="I53" s="4"/>
    </row>
    <row r="54" spans="1:9" ht="16" thickBot="1" x14ac:dyDescent="0.4">
      <c r="A54" s="68" t="s">
        <v>217</v>
      </c>
      <c r="B54" s="4" t="s">
        <v>85</v>
      </c>
      <c r="C54" s="55"/>
      <c r="D54" s="4"/>
      <c r="E54" s="4"/>
      <c r="F54" s="7"/>
      <c r="G54" s="4"/>
      <c r="H54" s="4"/>
      <c r="I54" s="4"/>
    </row>
    <row r="55" spans="1:9" ht="16.5" thickTop="1" thickBot="1" x14ac:dyDescent="0.4">
      <c r="A55" s="69"/>
      <c r="B55" s="4" t="s">
        <v>86</v>
      </c>
      <c r="C55" s="55"/>
      <c r="D55" s="4"/>
      <c r="E55" s="4"/>
      <c r="F55" s="54">
        <v>0</v>
      </c>
      <c r="G55" s="4"/>
      <c r="H55" s="4"/>
      <c r="I55" s="4"/>
    </row>
    <row r="56" spans="1:9" ht="16" thickTop="1" x14ac:dyDescent="0.35">
      <c r="A56" s="69"/>
      <c r="B56" s="4"/>
      <c r="C56" s="55"/>
      <c r="D56" s="4"/>
      <c r="E56" s="4"/>
      <c r="F56" s="7"/>
      <c r="G56" s="4"/>
      <c r="H56" s="4"/>
      <c r="I56" s="4"/>
    </row>
    <row r="57" spans="1:9" ht="16" thickBot="1" x14ac:dyDescent="0.4">
      <c r="A57" s="68" t="s">
        <v>218</v>
      </c>
      <c r="B57" s="4" t="s">
        <v>87</v>
      </c>
      <c r="C57" s="55"/>
      <c r="D57" s="4"/>
      <c r="E57" s="4"/>
      <c r="F57" s="7"/>
      <c r="G57" s="4"/>
      <c r="H57" s="4"/>
      <c r="I57" s="4"/>
    </row>
    <row r="58" spans="1:9" ht="16.5" thickTop="1" thickBot="1" x14ac:dyDescent="0.4">
      <c r="A58" s="69"/>
      <c r="B58" s="4" t="s">
        <v>86</v>
      </c>
      <c r="C58" s="55"/>
      <c r="D58" s="4"/>
      <c r="E58" s="4"/>
      <c r="F58" s="54"/>
      <c r="G58" s="4"/>
      <c r="H58" s="4"/>
      <c r="I58" s="4"/>
    </row>
    <row r="59" spans="1:9" ht="16" thickTop="1" x14ac:dyDescent="0.35">
      <c r="A59" s="69"/>
      <c r="B59" s="4"/>
      <c r="C59" s="55"/>
      <c r="D59" s="4"/>
      <c r="E59" s="4"/>
      <c r="F59" s="7"/>
      <c r="G59" s="4"/>
      <c r="H59" s="4"/>
      <c r="I59" s="4"/>
    </row>
    <row r="60" spans="1:9" ht="16" thickBot="1" x14ac:dyDescent="0.4">
      <c r="A60" s="68" t="s">
        <v>219</v>
      </c>
      <c r="B60" s="9" t="s">
        <v>88</v>
      </c>
      <c r="C60" s="57"/>
      <c r="D60" s="4"/>
      <c r="E60" s="4"/>
      <c r="F60" s="7"/>
      <c r="G60" s="4"/>
      <c r="H60" s="100">
        <f>H22-F25-F28+F31-F41+F49-F55+F58</f>
        <v>400</v>
      </c>
      <c r="I60" s="9" t="s">
        <v>11</v>
      </c>
    </row>
    <row r="61" spans="1:9" ht="16" thickTop="1" x14ac:dyDescent="0.35">
      <c r="A61" s="116"/>
      <c r="B61" s="4"/>
      <c r="C61" s="55"/>
      <c r="D61" s="4"/>
      <c r="E61" s="4"/>
      <c r="F61" s="7"/>
      <c r="G61" s="4"/>
      <c r="H61" s="4"/>
      <c r="I61" s="4"/>
    </row>
    <row r="62" spans="1:9" ht="15.5" x14ac:dyDescent="0.35">
      <c r="A62" s="116"/>
      <c r="B62" s="9" t="s">
        <v>146</v>
      </c>
      <c r="C62" s="55"/>
      <c r="D62" s="4"/>
      <c r="E62" s="4"/>
      <c r="F62" s="7"/>
      <c r="G62" s="4"/>
      <c r="H62" s="4"/>
      <c r="I62" s="4"/>
    </row>
    <row r="63" spans="1:9" ht="16" thickBot="1" x14ac:dyDescent="0.4">
      <c r="A63" s="116"/>
      <c r="B63" s="4"/>
      <c r="C63" s="55"/>
      <c r="D63" s="4"/>
      <c r="E63" s="4"/>
      <c r="F63" s="7"/>
      <c r="G63" s="4"/>
      <c r="H63" s="4"/>
      <c r="I63" s="4"/>
    </row>
    <row r="64" spans="1:9" ht="16.5" thickTop="1" thickBot="1" x14ac:dyDescent="0.4">
      <c r="A64" s="68" t="s">
        <v>220</v>
      </c>
      <c r="B64" s="4" t="s">
        <v>101</v>
      </c>
      <c r="C64" s="55"/>
      <c r="D64" s="4"/>
      <c r="E64" s="4"/>
      <c r="F64" s="54">
        <v>4</v>
      </c>
      <c r="G64" s="4"/>
      <c r="H64" s="4"/>
      <c r="I64" s="4"/>
    </row>
    <row r="65" spans="1:12" ht="16" thickTop="1" x14ac:dyDescent="0.35">
      <c r="A65" s="69"/>
      <c r="B65" s="4" t="s">
        <v>91</v>
      </c>
      <c r="C65" s="55"/>
      <c r="D65" s="4"/>
      <c r="E65" s="4"/>
      <c r="F65" s="7"/>
      <c r="G65" s="4"/>
      <c r="H65" s="59">
        <f>IF(H60=0,0,F64/H60)</f>
        <v>0.01</v>
      </c>
      <c r="I65" s="4"/>
    </row>
    <row r="66" spans="1:12" ht="16" thickBot="1" x14ac:dyDescent="0.4">
      <c r="A66" s="69"/>
      <c r="B66" s="4"/>
      <c r="C66" s="55"/>
      <c r="D66" s="4"/>
      <c r="E66" s="4"/>
      <c r="F66" s="7"/>
      <c r="G66" s="4"/>
      <c r="H66" s="4"/>
      <c r="I66" s="4"/>
    </row>
    <row r="67" spans="1:12" ht="16.5" thickTop="1" thickBot="1" x14ac:dyDescent="0.4">
      <c r="A67" s="115" t="s">
        <v>221</v>
      </c>
      <c r="B67" s="4" t="s">
        <v>90</v>
      </c>
      <c r="C67" s="55"/>
      <c r="D67" s="4"/>
      <c r="E67" s="4"/>
      <c r="F67" s="54">
        <v>48</v>
      </c>
      <c r="G67" s="4"/>
      <c r="H67" s="4"/>
      <c r="I67" s="4"/>
    </row>
    <row r="68" spans="1:12" ht="16.5" thickTop="1" thickBot="1" x14ac:dyDescent="0.4">
      <c r="A68" s="68" t="s">
        <v>222</v>
      </c>
      <c r="B68" s="4" t="s">
        <v>89</v>
      </c>
      <c r="C68" s="55"/>
      <c r="D68" s="4"/>
      <c r="E68" s="4"/>
      <c r="F68" s="54"/>
      <c r="G68" s="4"/>
      <c r="H68" s="4"/>
      <c r="I68" s="4"/>
    </row>
    <row r="69" spans="1:12" ht="16" thickTop="1" x14ac:dyDescent="0.35">
      <c r="A69" s="69"/>
      <c r="B69" s="4"/>
      <c r="C69" s="55"/>
      <c r="D69" s="4"/>
      <c r="E69" s="4"/>
      <c r="F69" s="7"/>
      <c r="G69" s="4"/>
      <c r="H69" s="4"/>
      <c r="I69" s="4"/>
    </row>
    <row r="70" spans="1:12" ht="15.5" x14ac:dyDescent="0.35">
      <c r="A70" s="68" t="s">
        <v>223</v>
      </c>
      <c r="B70" s="4" t="s">
        <v>92</v>
      </c>
      <c r="C70" s="55"/>
      <c r="D70" s="4"/>
      <c r="E70" s="4"/>
      <c r="F70" s="7"/>
      <c r="G70" s="4"/>
      <c r="H70" s="194">
        <f>IF(H60=0,0,((F67+F68)/H60))</f>
        <v>0.12</v>
      </c>
      <c r="I70" s="4"/>
    </row>
    <row r="71" spans="1:12" ht="15.5" x14ac:dyDescent="0.35">
      <c r="A71" s="69"/>
      <c r="B71" s="4" t="s">
        <v>93</v>
      </c>
      <c r="C71" s="55"/>
      <c r="D71" s="4"/>
      <c r="E71" s="4"/>
      <c r="F71" s="7"/>
      <c r="G71" s="4"/>
      <c r="H71" s="58"/>
      <c r="I71" s="4"/>
    </row>
    <row r="72" spans="1:12" ht="15.5" x14ac:dyDescent="0.35">
      <c r="A72" s="116"/>
      <c r="B72" s="20" t="s">
        <v>94</v>
      </c>
      <c r="C72" s="4"/>
      <c r="D72" s="4"/>
      <c r="G72" s="4"/>
      <c r="H72" s="4"/>
      <c r="I72" s="4"/>
    </row>
    <row r="73" spans="1:12" ht="15.5" x14ac:dyDescent="0.35">
      <c r="A73" s="116"/>
      <c r="B73" s="20"/>
      <c r="C73" s="71" t="s">
        <v>131</v>
      </c>
      <c r="D73" s="16" t="s">
        <v>132</v>
      </c>
      <c r="E73" s="71"/>
      <c r="G73" s="4"/>
      <c r="H73" s="4"/>
      <c r="I73" s="4"/>
    </row>
    <row r="74" spans="1:12" ht="15.5" x14ac:dyDescent="0.35">
      <c r="A74" s="116"/>
      <c r="B74" s="9" t="s">
        <v>141</v>
      </c>
      <c r="C74" s="108">
        <f>IF(F11=0," ",F11)</f>
        <v>43023</v>
      </c>
      <c r="D74" s="110">
        <f>IF(F12=0," ",F12)</f>
        <v>43024</v>
      </c>
      <c r="E74" s="109"/>
      <c r="G74" s="4"/>
      <c r="H74" s="20"/>
      <c r="I74" s="20"/>
    </row>
    <row r="75" spans="1:12" ht="15.5" x14ac:dyDescent="0.35">
      <c r="A75" s="116"/>
      <c r="B75" s="4"/>
      <c r="C75" s="4"/>
      <c r="D75" s="4"/>
      <c r="E75" s="4"/>
      <c r="G75" s="4"/>
      <c r="H75" s="20"/>
      <c r="I75" s="20"/>
    </row>
    <row r="76" spans="1:12" ht="15.5" x14ac:dyDescent="0.35">
      <c r="A76" s="116"/>
      <c r="B76" s="4"/>
      <c r="C76" s="4"/>
      <c r="D76" s="4"/>
      <c r="E76" s="4"/>
      <c r="F76" s="4"/>
      <c r="G76" s="4"/>
      <c r="H76" s="4"/>
      <c r="I76" s="4"/>
    </row>
    <row r="77" spans="1:12" ht="15.5" x14ac:dyDescent="0.35">
      <c r="A77" s="68" t="s">
        <v>224</v>
      </c>
      <c r="B77" s="4" t="s">
        <v>144</v>
      </c>
      <c r="C77" s="4"/>
      <c r="D77" s="4"/>
      <c r="E77" s="4"/>
      <c r="G77" s="4"/>
      <c r="H77" s="4">
        <f>C105</f>
        <v>400</v>
      </c>
      <c r="I77" s="4" t="s">
        <v>11</v>
      </c>
      <c r="L77" s="34" t="s">
        <v>8</v>
      </c>
    </row>
    <row r="78" spans="1:12" ht="15.5" x14ac:dyDescent="0.35">
      <c r="A78" s="68"/>
      <c r="B78" s="22" t="str">
        <f>IF(H77&lt;H60,L78," ")</f>
        <v xml:space="preserve"> </v>
      </c>
      <c r="C78" s="4"/>
      <c r="D78" s="4"/>
      <c r="E78" s="4"/>
      <c r="F78" s="4"/>
      <c r="G78" s="4"/>
      <c r="H78" s="4"/>
      <c r="I78" s="4"/>
      <c r="L78" s="1" t="s">
        <v>188</v>
      </c>
    </row>
    <row r="79" spans="1:12" ht="15.5" x14ac:dyDescent="0.35">
      <c r="A79" s="68" t="s">
        <v>104</v>
      </c>
      <c r="B79" s="4" t="s">
        <v>98</v>
      </c>
      <c r="C79" s="4"/>
      <c r="D79" s="4"/>
      <c r="E79" s="4"/>
      <c r="G79" s="4"/>
      <c r="H79" s="4">
        <f>E105</f>
        <v>352</v>
      </c>
      <c r="I79" s="4" t="s">
        <v>11</v>
      </c>
    </row>
    <row r="80" spans="1:12" ht="15.5" x14ac:dyDescent="0.35">
      <c r="A80" s="69"/>
      <c r="B80" s="4"/>
      <c r="C80" s="4"/>
      <c r="D80" s="4"/>
      <c r="E80" s="22"/>
      <c r="F80" s="4"/>
      <c r="G80" s="4"/>
      <c r="H80" s="4"/>
      <c r="I80" s="4"/>
    </row>
    <row r="81" spans="1:9" ht="16" thickBot="1" x14ac:dyDescent="0.4">
      <c r="A81" s="68" t="s">
        <v>105</v>
      </c>
      <c r="B81" s="20" t="s">
        <v>102</v>
      </c>
      <c r="C81" s="4"/>
      <c r="D81" s="4"/>
      <c r="E81" s="4"/>
      <c r="F81" s="4"/>
      <c r="G81" s="4"/>
      <c r="H81" s="253">
        <f>IF(H77=0,0,H79/H77)</f>
        <v>0.88</v>
      </c>
      <c r="I81" s="20"/>
    </row>
    <row r="82" spans="1:9" ht="16" thickTop="1" x14ac:dyDescent="0.35">
      <c r="A82" s="68"/>
      <c r="B82" s="20"/>
      <c r="C82" s="4"/>
      <c r="D82" s="4"/>
      <c r="E82" s="4"/>
      <c r="F82" s="4"/>
      <c r="G82" s="4"/>
      <c r="H82" s="60"/>
      <c r="I82" s="20"/>
    </row>
    <row r="83" spans="1:9" ht="15.5" x14ac:dyDescent="0.35">
      <c r="A83" s="68" t="s">
        <v>106</v>
      </c>
      <c r="B83" s="52" t="s">
        <v>99</v>
      </c>
      <c r="C83" s="4"/>
      <c r="D83" s="4"/>
      <c r="E83" s="4"/>
      <c r="F83" s="4">
        <f>D105</f>
        <v>48</v>
      </c>
      <c r="G83" s="4"/>
      <c r="H83" s="60"/>
      <c r="I83" s="20"/>
    </row>
    <row r="84" spans="1:9" ht="15.5" x14ac:dyDescent="0.35">
      <c r="A84" s="68" t="s">
        <v>107</v>
      </c>
      <c r="B84" s="52" t="s">
        <v>100</v>
      </c>
      <c r="C84" s="4"/>
      <c r="D84" s="4"/>
      <c r="E84" s="22" t="str">
        <f>IF(H77&lt;H74,L78," ")</f>
        <v xml:space="preserve"> </v>
      </c>
      <c r="F84" s="4"/>
      <c r="G84" s="4"/>
      <c r="H84" s="194">
        <f>IF(H77=0,0,F83/H77)</f>
        <v>0.12</v>
      </c>
      <c r="I84" s="4"/>
    </row>
    <row r="85" spans="1:9" ht="15.5" x14ac:dyDescent="0.35">
      <c r="A85" s="68"/>
      <c r="B85" s="52"/>
      <c r="C85" s="4"/>
      <c r="D85" s="4"/>
      <c r="E85" s="22"/>
      <c r="F85" s="4"/>
      <c r="G85" s="4"/>
      <c r="H85" s="4"/>
      <c r="I85" s="4"/>
    </row>
    <row r="86" spans="1:9" ht="15.5" x14ac:dyDescent="0.35">
      <c r="A86" s="69"/>
      <c r="B86" s="20" t="s">
        <v>13</v>
      </c>
      <c r="C86" s="4"/>
      <c r="D86" s="4"/>
      <c r="E86" s="4"/>
      <c r="F86" s="4"/>
      <c r="G86" s="4"/>
      <c r="H86" s="4"/>
      <c r="I86" s="4"/>
    </row>
    <row r="87" spans="1:9" ht="15.5" x14ac:dyDescent="0.35">
      <c r="A87" s="69"/>
      <c r="B87" s="4"/>
      <c r="C87" s="4"/>
      <c r="D87" s="4"/>
      <c r="E87" s="4"/>
      <c r="F87" s="4"/>
      <c r="G87" s="4"/>
      <c r="H87" s="4"/>
      <c r="I87" s="4"/>
    </row>
    <row r="88" spans="1:9" ht="15.5" x14ac:dyDescent="0.35">
      <c r="A88" s="69"/>
      <c r="B88" s="4"/>
      <c r="C88" s="10" t="s">
        <v>2</v>
      </c>
      <c r="D88" s="10" t="s">
        <v>2</v>
      </c>
      <c r="E88" s="10" t="s">
        <v>2</v>
      </c>
      <c r="F88" s="4"/>
      <c r="G88" s="4"/>
      <c r="H88" s="73" t="s">
        <v>95</v>
      </c>
      <c r="I88" s="4"/>
    </row>
    <row r="89" spans="1:9" ht="15.5" x14ac:dyDescent="0.35">
      <c r="A89" s="69"/>
      <c r="B89" s="4" t="s">
        <v>5</v>
      </c>
      <c r="C89" s="10" t="s">
        <v>3</v>
      </c>
      <c r="D89" s="10" t="s">
        <v>4</v>
      </c>
      <c r="E89" s="10" t="s">
        <v>6</v>
      </c>
      <c r="F89" s="4"/>
      <c r="G89" s="4"/>
      <c r="H89" s="74" t="s">
        <v>7</v>
      </c>
      <c r="I89" s="4"/>
    </row>
    <row r="90" spans="1:9" ht="15.5" x14ac:dyDescent="0.35">
      <c r="A90" s="69"/>
      <c r="B90" s="4"/>
      <c r="C90" s="4"/>
      <c r="D90" s="4"/>
      <c r="E90" s="4"/>
      <c r="F90" s="4"/>
      <c r="G90" s="4"/>
      <c r="H90" s="4"/>
      <c r="I90" s="4"/>
    </row>
    <row r="91" spans="1:9" ht="15" customHeight="1" x14ac:dyDescent="0.35">
      <c r="A91" s="69"/>
      <c r="B91" s="5" t="s">
        <v>326</v>
      </c>
      <c r="C91" s="96">
        <v>352</v>
      </c>
      <c r="D91" s="96">
        <v>43</v>
      </c>
      <c r="E91" s="96">
        <f>C91-D91</f>
        <v>309</v>
      </c>
      <c r="F91" s="4"/>
      <c r="G91" s="4"/>
      <c r="H91" s="86">
        <f>IF(C91=0,"  ",(E91/C91))</f>
        <v>0.87784090909090906</v>
      </c>
      <c r="I91" s="4"/>
    </row>
    <row r="92" spans="1:9" ht="15" customHeight="1" x14ac:dyDescent="0.35">
      <c r="A92" s="69"/>
      <c r="B92" s="4"/>
      <c r="C92" s="97"/>
      <c r="D92" s="97"/>
      <c r="E92" s="97"/>
      <c r="F92" s="4"/>
      <c r="G92" s="4"/>
      <c r="H92" s="4"/>
      <c r="I92" s="4"/>
    </row>
    <row r="93" spans="1:9" ht="15" customHeight="1" x14ac:dyDescent="0.35">
      <c r="A93" s="69"/>
      <c r="B93" s="5" t="s">
        <v>327</v>
      </c>
      <c r="C93" s="96">
        <v>48</v>
      </c>
      <c r="D93" s="96">
        <v>5</v>
      </c>
      <c r="E93" s="96">
        <v>43</v>
      </c>
      <c r="F93" s="4"/>
      <c r="G93" s="4"/>
      <c r="H93" s="75">
        <f>IF(C93=0,"  ",(E93/C93))</f>
        <v>0.89583333333333337</v>
      </c>
      <c r="I93" s="4"/>
    </row>
    <row r="94" spans="1:9" ht="15" customHeight="1" x14ac:dyDescent="0.35">
      <c r="A94" s="70"/>
      <c r="B94" s="4"/>
      <c r="C94" s="97"/>
      <c r="D94" s="97"/>
      <c r="E94" s="97"/>
      <c r="F94" s="4"/>
      <c r="G94" s="4"/>
      <c r="H94" s="4"/>
      <c r="I94" s="4"/>
    </row>
    <row r="95" spans="1:9" ht="15" customHeight="1" x14ac:dyDescent="0.35">
      <c r="A95" s="70"/>
      <c r="B95" s="5"/>
      <c r="C95" s="96">
        <v>0</v>
      </c>
      <c r="D95" s="96">
        <v>0</v>
      </c>
      <c r="E95" s="96">
        <v>0</v>
      </c>
      <c r="F95" s="4"/>
      <c r="G95" s="4"/>
      <c r="H95" s="75" t="str">
        <f>IF(C95=0,"  ",(E95/C95))</f>
        <v xml:space="preserve">  </v>
      </c>
      <c r="I95" s="4"/>
    </row>
    <row r="96" spans="1:9" ht="15" customHeight="1" x14ac:dyDescent="0.35">
      <c r="A96" s="70"/>
      <c r="B96" s="4"/>
      <c r="C96" s="97"/>
      <c r="D96" s="97"/>
      <c r="E96" s="97"/>
      <c r="F96" s="4"/>
      <c r="G96" s="4"/>
      <c r="H96" s="4"/>
      <c r="I96" s="4"/>
    </row>
    <row r="97" spans="1:12" ht="15" customHeight="1" x14ac:dyDescent="0.35">
      <c r="A97" s="70"/>
      <c r="B97" s="5"/>
      <c r="C97" s="96">
        <v>0</v>
      </c>
      <c r="D97" s="96">
        <v>0</v>
      </c>
      <c r="E97" s="96">
        <v>0</v>
      </c>
      <c r="F97" s="4"/>
      <c r="G97" s="4"/>
      <c r="H97" s="75" t="str">
        <f>IF(C97=0,"  ",(E97/C97))</f>
        <v xml:space="preserve">  </v>
      </c>
      <c r="I97" s="4"/>
    </row>
    <row r="98" spans="1:12" ht="15" customHeight="1" x14ac:dyDescent="0.35">
      <c r="A98" s="70"/>
      <c r="B98" s="4"/>
      <c r="C98" s="97"/>
      <c r="D98" s="97"/>
      <c r="E98" s="97"/>
      <c r="F98" s="4"/>
      <c r="G98" s="4"/>
      <c r="H98" s="4"/>
      <c r="I98" s="4"/>
    </row>
    <row r="99" spans="1:12" ht="15" customHeight="1" x14ac:dyDescent="0.35">
      <c r="A99" s="70"/>
      <c r="B99" s="5"/>
      <c r="C99" s="96">
        <v>0</v>
      </c>
      <c r="D99" s="96">
        <v>0</v>
      </c>
      <c r="E99" s="96">
        <v>0</v>
      </c>
      <c r="F99" s="4"/>
      <c r="G99" s="4"/>
      <c r="H99" s="75" t="str">
        <f>IF(C99=0,"  ",(E99/C99))</f>
        <v xml:space="preserve">  </v>
      </c>
      <c r="I99" s="4"/>
    </row>
    <row r="100" spans="1:12" ht="15" customHeight="1" x14ac:dyDescent="0.35">
      <c r="A100" s="64"/>
      <c r="B100" s="4"/>
      <c r="C100" s="97"/>
      <c r="D100" s="97"/>
      <c r="E100" s="97"/>
      <c r="F100" s="4"/>
      <c r="G100" s="4"/>
      <c r="H100" s="4"/>
      <c r="I100" s="4"/>
    </row>
    <row r="101" spans="1:12" ht="15" customHeight="1" x14ac:dyDescent="0.35">
      <c r="A101" s="64"/>
      <c r="B101" s="5"/>
      <c r="C101" s="96">
        <v>0</v>
      </c>
      <c r="D101" s="96">
        <v>0</v>
      </c>
      <c r="E101" s="96">
        <v>0</v>
      </c>
      <c r="F101" s="4"/>
      <c r="G101" s="4"/>
      <c r="H101" s="75" t="str">
        <f>IF(C101=0,"  ",(E101/C101))</f>
        <v xml:space="preserve">  </v>
      </c>
      <c r="I101" s="4"/>
    </row>
    <row r="102" spans="1:12" ht="15" customHeight="1" x14ac:dyDescent="0.35">
      <c r="A102" s="64"/>
      <c r="B102" s="4"/>
      <c r="C102" s="97"/>
      <c r="D102" s="97"/>
      <c r="E102" s="97"/>
      <c r="F102" s="4"/>
      <c r="G102" s="4"/>
      <c r="H102" s="4"/>
      <c r="I102" s="4"/>
    </row>
    <row r="103" spans="1:12" ht="15" customHeight="1" x14ac:dyDescent="0.35">
      <c r="A103" s="64"/>
      <c r="B103" s="5"/>
      <c r="C103" s="96">
        <v>0</v>
      </c>
      <c r="D103" s="96">
        <v>0</v>
      </c>
      <c r="E103" s="96">
        <v>0</v>
      </c>
      <c r="F103" s="4"/>
      <c r="G103" s="4"/>
      <c r="H103" s="75" t="str">
        <f>IF(C103=0,"  ",(E103/C103))</f>
        <v xml:space="preserve">  </v>
      </c>
      <c r="I103" s="4"/>
    </row>
    <row r="104" spans="1:12" ht="15.5" x14ac:dyDescent="0.35">
      <c r="A104" s="64"/>
      <c r="B104" s="4"/>
      <c r="C104" s="98" t="str">
        <f>IF(D105+E105=C105," ",L105)</f>
        <v xml:space="preserve"> </v>
      </c>
      <c r="D104" s="97"/>
      <c r="E104" s="97"/>
      <c r="F104" s="4"/>
      <c r="G104" s="4"/>
      <c r="H104" s="4"/>
      <c r="I104" s="4"/>
    </row>
    <row r="105" spans="1:12" ht="15.5" x14ac:dyDescent="0.35">
      <c r="A105" s="64"/>
      <c r="B105" s="52" t="s">
        <v>187</v>
      </c>
      <c r="C105" s="99">
        <f>SUM(C91:C103)</f>
        <v>400</v>
      </c>
      <c r="D105" s="99">
        <f>SUM(D91:D103)</f>
        <v>48</v>
      </c>
      <c r="E105" s="99">
        <f>SUM(E91:E103)</f>
        <v>352</v>
      </c>
      <c r="F105" s="52" t="s">
        <v>143</v>
      </c>
      <c r="G105" s="52"/>
      <c r="H105" s="87">
        <f>IF(C105=0,0,(E105/C105))</f>
        <v>0.88</v>
      </c>
      <c r="I105" s="4"/>
      <c r="L105" s="1" t="s">
        <v>16</v>
      </c>
    </row>
    <row r="106" spans="1:12" ht="15.5" x14ac:dyDescent="0.35">
      <c r="A106" s="64"/>
      <c r="B106" s="4"/>
      <c r="C106" s="97"/>
      <c r="D106" s="97"/>
      <c r="E106" s="97"/>
      <c r="F106" s="4"/>
      <c r="G106" s="4"/>
      <c r="H106" s="4"/>
      <c r="I106" s="4"/>
    </row>
    <row r="107" spans="1:12" ht="15.5" x14ac:dyDescent="0.35">
      <c r="A107" s="64"/>
      <c r="B107" s="9" t="s">
        <v>232</v>
      </c>
      <c r="C107" s="4"/>
      <c r="D107" s="4"/>
      <c r="E107" s="4"/>
      <c r="F107" s="4"/>
      <c r="G107" s="4"/>
      <c r="H107" s="4"/>
      <c r="I107" s="4"/>
    </row>
    <row r="108" spans="1:12" ht="15.5" x14ac:dyDescent="0.35">
      <c r="A108" s="64"/>
      <c r="B108" s="9"/>
      <c r="C108" s="4"/>
      <c r="D108" s="4"/>
      <c r="E108" s="4"/>
      <c r="F108" s="4"/>
      <c r="G108" s="4"/>
      <c r="H108" s="4"/>
      <c r="I108" s="4"/>
    </row>
    <row r="109" spans="1:12" ht="16" thickBot="1" x14ac:dyDescent="0.4">
      <c r="A109" s="65" t="s">
        <v>108</v>
      </c>
      <c r="B109" s="4" t="s">
        <v>148</v>
      </c>
      <c r="C109" s="4"/>
      <c r="D109" s="4"/>
      <c r="E109" s="4"/>
      <c r="F109" s="4"/>
      <c r="G109" s="4"/>
      <c r="H109" s="4"/>
      <c r="I109" s="4"/>
    </row>
    <row r="110" spans="1:12" ht="16.5" thickTop="1" thickBot="1" x14ac:dyDescent="0.4">
      <c r="A110" s="65"/>
      <c r="B110" s="4" t="s">
        <v>149</v>
      </c>
      <c r="C110" s="4"/>
      <c r="D110" s="4"/>
      <c r="E110" s="4"/>
      <c r="F110" s="54">
        <v>46</v>
      </c>
      <c r="G110" s="4"/>
      <c r="H110" s="4"/>
      <c r="I110" s="4"/>
    </row>
    <row r="111" spans="1:12" ht="16" thickTop="1" x14ac:dyDescent="0.35">
      <c r="A111" s="65"/>
      <c r="C111" s="4"/>
      <c r="D111" s="4"/>
      <c r="E111" s="4"/>
      <c r="F111" s="4"/>
      <c r="G111" s="4"/>
      <c r="H111" s="4"/>
      <c r="I111" s="4"/>
    </row>
    <row r="112" spans="1:12" ht="15.5" x14ac:dyDescent="0.35">
      <c r="A112" s="65" t="s">
        <v>109</v>
      </c>
      <c r="B112" s="9" t="s">
        <v>103</v>
      </c>
      <c r="C112" s="4"/>
      <c r="D112" s="4"/>
      <c r="E112" s="4"/>
      <c r="G112" s="4"/>
      <c r="H112" s="194">
        <f>IF(F83=0,0,F110/F83)</f>
        <v>0.95833333333333337</v>
      </c>
      <c r="I112" s="4"/>
    </row>
    <row r="113" spans="1:11" ht="15.5" x14ac:dyDescent="0.35">
      <c r="A113" s="65"/>
      <c r="B113" s="9"/>
      <c r="C113" s="4"/>
      <c r="D113" s="4"/>
      <c r="E113" s="4"/>
      <c r="F113" s="4"/>
      <c r="G113" s="4"/>
      <c r="H113" s="4"/>
      <c r="I113" s="4"/>
    </row>
    <row r="114" spans="1:11" ht="15.5" x14ac:dyDescent="0.35">
      <c r="A114" s="66" t="s">
        <v>110</v>
      </c>
      <c r="B114" s="4" t="s">
        <v>111</v>
      </c>
      <c r="C114" s="4"/>
      <c r="D114" s="4"/>
      <c r="E114" s="4"/>
      <c r="F114" s="20">
        <f>F83-F110</f>
        <v>2</v>
      </c>
      <c r="I114" s="4"/>
    </row>
    <row r="115" spans="1:11" ht="15.5" x14ac:dyDescent="0.35">
      <c r="A115" s="65"/>
      <c r="B115" s="4"/>
      <c r="C115" s="4"/>
      <c r="D115" s="4"/>
      <c r="E115" s="4"/>
      <c r="F115" s="4"/>
      <c r="G115" s="4"/>
      <c r="H115" s="4"/>
      <c r="I115" s="4"/>
    </row>
    <row r="116" spans="1:11" ht="15.5" x14ac:dyDescent="0.35">
      <c r="A116" s="66" t="s">
        <v>113</v>
      </c>
      <c r="B116" s="4" t="s">
        <v>112</v>
      </c>
      <c r="C116" s="4"/>
      <c r="D116" s="4"/>
      <c r="E116" s="4"/>
      <c r="F116" s="4"/>
      <c r="G116" s="4"/>
      <c r="H116" s="194">
        <f>IF(F83=0,0,F114/F83)</f>
        <v>4.1666666666666664E-2</v>
      </c>
      <c r="I116" s="4"/>
    </row>
    <row r="117" spans="1:11" ht="15.5" x14ac:dyDescent="0.35">
      <c r="A117" s="67"/>
      <c r="B117" s="4"/>
      <c r="C117" s="4"/>
      <c r="D117" s="4"/>
      <c r="E117" s="4"/>
      <c r="F117" s="4"/>
      <c r="G117" s="4"/>
      <c r="H117" s="4"/>
      <c r="I117" s="4"/>
    </row>
    <row r="118" spans="1:11" ht="15.5" x14ac:dyDescent="0.35">
      <c r="A118" s="67"/>
      <c r="B118" s="9" t="s">
        <v>114</v>
      </c>
      <c r="C118" s="4"/>
      <c r="D118" s="4"/>
      <c r="E118" s="4"/>
      <c r="F118" s="4"/>
      <c r="G118" s="4"/>
      <c r="H118" s="4"/>
      <c r="I118" s="4"/>
    </row>
    <row r="119" spans="1:11" ht="15.5" x14ac:dyDescent="0.35">
      <c r="A119" s="67"/>
      <c r="B119" s="4"/>
      <c r="C119" s="4"/>
      <c r="D119" s="4"/>
      <c r="E119" s="4"/>
      <c r="F119" s="4"/>
      <c r="G119" s="4"/>
      <c r="H119" s="4"/>
      <c r="I119" s="4"/>
    </row>
    <row r="120" spans="1:11" ht="15.5" x14ac:dyDescent="0.35">
      <c r="A120" s="67"/>
      <c r="B120" s="12"/>
      <c r="C120" s="15" t="s">
        <v>29</v>
      </c>
      <c r="D120" s="4"/>
      <c r="E120" s="4"/>
      <c r="F120" s="4"/>
      <c r="G120" s="4"/>
      <c r="H120" s="4"/>
      <c r="I120" s="4"/>
    </row>
    <row r="121" spans="1:11" ht="15.5" x14ac:dyDescent="0.35">
      <c r="A121" s="67"/>
      <c r="B121" s="14" t="s">
        <v>196</v>
      </c>
      <c r="C121" s="110">
        <f>IF(F14=0," ",F14)</f>
        <v>42744</v>
      </c>
      <c r="D121" s="4"/>
      <c r="E121" s="4"/>
      <c r="F121" s="4"/>
      <c r="G121" s="4"/>
      <c r="H121" s="4"/>
      <c r="I121" s="4"/>
      <c r="J121" s="61">
        <f>(C121+C122)/2</f>
        <v>42789</v>
      </c>
      <c r="K121" t="s">
        <v>133</v>
      </c>
    </row>
    <row r="122" spans="1:11" ht="15.5" x14ac:dyDescent="0.35">
      <c r="A122" s="67"/>
      <c r="B122" s="14" t="s">
        <v>202</v>
      </c>
      <c r="C122" s="110">
        <f>IF(F15=0," ",F15)</f>
        <v>42834</v>
      </c>
      <c r="D122" s="4"/>
      <c r="E122" s="4"/>
      <c r="F122" s="4"/>
      <c r="G122" s="4"/>
      <c r="H122" s="4"/>
      <c r="I122" s="4"/>
      <c r="J122" s="48">
        <f>C122-C121</f>
        <v>90</v>
      </c>
      <c r="K122" t="s">
        <v>195</v>
      </c>
    </row>
    <row r="123" spans="1:11" ht="16" thickBot="1" x14ac:dyDescent="0.4">
      <c r="A123" s="67"/>
      <c r="B123" s="4"/>
      <c r="C123" s="13"/>
      <c r="D123" s="4"/>
      <c r="E123" s="4"/>
      <c r="F123" s="4"/>
      <c r="G123" s="4"/>
      <c r="H123" s="4"/>
      <c r="I123" s="4"/>
    </row>
    <row r="124" spans="1:11" ht="16.5" thickTop="1" thickBot="1" x14ac:dyDescent="0.4">
      <c r="A124" s="65" t="s">
        <v>115</v>
      </c>
      <c r="B124" s="23" t="s">
        <v>173</v>
      </c>
      <c r="C124" s="4"/>
      <c r="D124" s="4"/>
      <c r="E124" s="4"/>
      <c r="F124" s="95">
        <v>348</v>
      </c>
      <c r="G124" s="4"/>
      <c r="H124" s="4"/>
      <c r="I124" s="4"/>
    </row>
    <row r="125" spans="1:11" ht="16" thickTop="1" x14ac:dyDescent="0.35">
      <c r="A125" s="65"/>
      <c r="B125" s="4"/>
      <c r="C125" s="4"/>
      <c r="D125" s="4"/>
      <c r="E125" s="4"/>
      <c r="F125" s="4"/>
      <c r="G125" s="4"/>
      <c r="H125" s="4"/>
      <c r="I125" s="4"/>
    </row>
    <row r="126" spans="1:11" ht="15.5" x14ac:dyDescent="0.35">
      <c r="A126" s="65" t="s">
        <v>117</v>
      </c>
      <c r="B126" s="9" t="s">
        <v>116</v>
      </c>
      <c r="C126" s="4"/>
      <c r="D126" s="4"/>
      <c r="E126" s="4"/>
      <c r="G126" s="4"/>
      <c r="H126" s="4"/>
      <c r="I126" s="4"/>
    </row>
    <row r="127" spans="1:11" ht="15.5" x14ac:dyDescent="0.35">
      <c r="A127" s="65"/>
      <c r="B127" s="9" t="s">
        <v>234</v>
      </c>
      <c r="C127" s="4"/>
      <c r="D127" s="4"/>
      <c r="E127" s="4"/>
      <c r="G127" s="4"/>
      <c r="H127" s="59">
        <f>IF(H60=0,0,((F124)/(H60+F55-F58)))</f>
        <v>0.87</v>
      </c>
      <c r="I127" s="4"/>
    </row>
    <row r="128" spans="1:11" ht="15.5" x14ac:dyDescent="0.35">
      <c r="A128" s="65"/>
      <c r="B128" s="9"/>
      <c r="C128" s="4"/>
      <c r="D128" s="4"/>
      <c r="E128" s="4"/>
      <c r="F128" s="9"/>
      <c r="G128" s="4"/>
      <c r="H128" s="4"/>
      <c r="I128" s="4"/>
    </row>
    <row r="129" spans="1:12" ht="15.5" x14ac:dyDescent="0.35">
      <c r="A129" s="65" t="s">
        <v>118</v>
      </c>
      <c r="B129" s="4" t="s">
        <v>119</v>
      </c>
      <c r="C129" s="4"/>
      <c r="D129" s="4"/>
      <c r="E129" s="4"/>
      <c r="F129" s="4"/>
      <c r="G129" s="4"/>
      <c r="H129" s="4"/>
      <c r="I129" s="4"/>
    </row>
    <row r="130" spans="1:12" ht="16" thickBot="1" x14ac:dyDescent="0.4">
      <c r="A130" s="65"/>
      <c r="B130" s="4"/>
      <c r="C130" s="4"/>
      <c r="D130" s="4"/>
      <c r="E130" s="4"/>
      <c r="F130" s="4"/>
      <c r="G130" s="4"/>
      <c r="H130" s="4"/>
      <c r="I130" s="4"/>
    </row>
    <row r="131" spans="1:12" ht="16.5" thickTop="1" thickBot="1" x14ac:dyDescent="0.4">
      <c r="A131" s="66" t="s">
        <v>139</v>
      </c>
      <c r="B131" s="4" t="s">
        <v>120</v>
      </c>
      <c r="C131" s="4"/>
      <c r="D131" s="4"/>
      <c r="E131" s="4"/>
      <c r="F131" s="54">
        <v>2</v>
      </c>
      <c r="G131" s="4"/>
      <c r="H131" s="4"/>
      <c r="I131" s="4"/>
    </row>
    <row r="132" spans="1:12" ht="16.5" thickTop="1" thickBot="1" x14ac:dyDescent="0.4">
      <c r="A132" s="65"/>
      <c r="B132" s="4"/>
      <c r="C132" s="4"/>
      <c r="D132" s="4"/>
      <c r="E132" s="4"/>
      <c r="F132" s="4"/>
      <c r="G132" s="4"/>
      <c r="H132" s="4"/>
      <c r="I132" s="4"/>
    </row>
    <row r="133" spans="1:12" ht="16.5" thickTop="1" thickBot="1" x14ac:dyDescent="0.4">
      <c r="A133" s="66" t="s">
        <v>140</v>
      </c>
      <c r="B133" s="4" t="s">
        <v>121</v>
      </c>
      <c r="C133" s="4"/>
      <c r="D133" s="4"/>
      <c r="E133" s="4"/>
      <c r="F133" s="95">
        <v>346</v>
      </c>
      <c r="G133" s="4"/>
      <c r="H133" s="4"/>
      <c r="I133" s="4"/>
      <c r="K133" s="113"/>
      <c r="L133" s="152">
        <f>IF(H60=0,0,((F$58+F$124+F$147-F$149-F$55))/(H60))</f>
        <v>0.02</v>
      </c>
    </row>
    <row r="134" spans="1:12" ht="16" thickTop="1" x14ac:dyDescent="0.35">
      <c r="A134" s="65"/>
      <c r="B134" s="4"/>
      <c r="C134" s="4"/>
      <c r="D134" s="4"/>
      <c r="E134" s="4"/>
      <c r="F134" s="4"/>
      <c r="G134" s="4"/>
      <c r="H134" s="4"/>
      <c r="I134" s="4"/>
      <c r="K134" s="26" t="s">
        <v>174</v>
      </c>
    </row>
    <row r="135" spans="1:12" ht="15.5" x14ac:dyDescent="0.35">
      <c r="A135" s="65" t="s">
        <v>123</v>
      </c>
      <c r="B135" s="4" t="s">
        <v>122</v>
      </c>
      <c r="C135" s="4"/>
      <c r="D135" s="4"/>
      <c r="E135" s="4"/>
      <c r="F135" s="4"/>
      <c r="G135" s="4"/>
      <c r="H135" s="4"/>
      <c r="I135" s="4"/>
      <c r="L135" s="152">
        <f>(IF(H60=0,0,((F$58+F$124+F$147-F$149-F$55))/(F$58+F$124)))</f>
        <v>2.2988505747126436E-2</v>
      </c>
    </row>
    <row r="136" spans="1:12" ht="15.5" x14ac:dyDescent="0.35">
      <c r="A136" s="65"/>
      <c r="B136" s="4" t="s">
        <v>186</v>
      </c>
      <c r="C136" s="4"/>
      <c r="D136" s="4"/>
      <c r="E136" s="4"/>
      <c r="G136" s="4"/>
      <c r="H136" s="194">
        <f>IF($H$60=0,0,($F$133/($H$60+$F$55-$F$58)))</f>
        <v>0.86499999999999999</v>
      </c>
      <c r="I136" s="4"/>
      <c r="K136" s="26" t="s">
        <v>231</v>
      </c>
    </row>
    <row r="137" spans="1:12" ht="15.5" x14ac:dyDescent="0.35">
      <c r="A137" s="65"/>
      <c r="B137" s="4"/>
      <c r="C137" s="4"/>
      <c r="D137" s="4"/>
      <c r="E137" s="4"/>
      <c r="G137" s="4"/>
      <c r="H137" s="59"/>
      <c r="I137" s="4"/>
    </row>
    <row r="138" spans="1:12" ht="15.5" x14ac:dyDescent="0.35">
      <c r="A138" s="65" t="s">
        <v>124</v>
      </c>
      <c r="B138" s="4" t="s">
        <v>126</v>
      </c>
      <c r="C138" s="4"/>
      <c r="D138" s="4"/>
      <c r="E138" s="4"/>
      <c r="G138" s="4"/>
      <c r="H138" s="59"/>
      <c r="I138" s="4"/>
    </row>
    <row r="139" spans="1:12" ht="15.5" x14ac:dyDescent="0.35">
      <c r="A139" s="65"/>
      <c r="B139" s="4" t="s">
        <v>127</v>
      </c>
      <c r="C139" s="4"/>
      <c r="D139" s="4"/>
      <c r="E139" s="4"/>
      <c r="G139" s="4"/>
      <c r="H139" s="194">
        <f>IF(H60=0,0,F131/(H60+F55-F58))</f>
        <v>5.0000000000000001E-3</v>
      </c>
      <c r="I139" s="4"/>
    </row>
    <row r="140" spans="1:12" ht="15.5" x14ac:dyDescent="0.35">
      <c r="A140" s="65"/>
      <c r="B140" s="4"/>
      <c r="C140" s="4"/>
      <c r="D140" s="4"/>
      <c r="E140" s="4"/>
      <c r="G140" s="4"/>
      <c r="H140" s="59"/>
      <c r="I140" s="4"/>
    </row>
    <row r="141" spans="1:12" ht="15.5" x14ac:dyDescent="0.35">
      <c r="A141" s="65" t="s">
        <v>125</v>
      </c>
      <c r="B141" s="4" t="s">
        <v>128</v>
      </c>
      <c r="C141" s="4"/>
      <c r="D141" s="4"/>
      <c r="E141" s="4"/>
      <c r="F141" s="4"/>
      <c r="G141" s="4"/>
      <c r="H141" s="59">
        <f>IF(F124=0,0,F131/F124)</f>
        <v>5.7471264367816091E-3</v>
      </c>
      <c r="I141" s="4"/>
      <c r="K141" s="113">
        <f>F124-F149</f>
        <v>8</v>
      </c>
    </row>
    <row r="142" spans="1:12" ht="15.5" x14ac:dyDescent="0.35">
      <c r="A142" s="65"/>
      <c r="B142" s="4"/>
      <c r="C142" s="4"/>
      <c r="D142" s="4"/>
      <c r="E142" s="4"/>
      <c r="F142" s="4"/>
      <c r="G142" s="4"/>
      <c r="H142" s="59"/>
      <c r="I142" s="4"/>
    </row>
    <row r="143" spans="1:12" ht="15.5" x14ac:dyDescent="0.35">
      <c r="A143" s="65"/>
      <c r="B143" s="9" t="s">
        <v>150</v>
      </c>
      <c r="C143" s="4"/>
      <c r="D143" s="4"/>
      <c r="E143" s="4"/>
      <c r="F143" s="4"/>
      <c r="G143" s="4"/>
      <c r="H143" s="59"/>
      <c r="I143" s="4"/>
    </row>
    <row r="144" spans="1:12" ht="15.5" x14ac:dyDescent="0.35">
      <c r="A144" s="65"/>
      <c r="B144" s="9"/>
      <c r="C144" s="4" t="s">
        <v>131</v>
      </c>
      <c r="D144" s="4" t="s">
        <v>132</v>
      </c>
      <c r="E144" s="4"/>
      <c r="F144" s="4"/>
      <c r="G144" s="4"/>
      <c r="H144" s="59"/>
      <c r="I144" s="4"/>
      <c r="J144" s="61">
        <f>IF(J121=0,0,J121)</f>
        <v>42789</v>
      </c>
      <c r="K144" t="s">
        <v>133</v>
      </c>
    </row>
    <row r="145" spans="1:13" ht="15.5" x14ac:dyDescent="0.35">
      <c r="A145" s="65"/>
      <c r="B145" s="20" t="s">
        <v>151</v>
      </c>
      <c r="C145" s="111">
        <f>IF(F17=0," ",F17)</f>
        <v>43009</v>
      </c>
      <c r="D145" s="111">
        <f>IF(F18=0," ",F18)</f>
        <v>43012</v>
      </c>
      <c r="E145" s="4"/>
      <c r="F145" s="4"/>
      <c r="G145" s="4"/>
      <c r="H145" s="59"/>
      <c r="I145" s="4"/>
      <c r="J145" s="61">
        <f>(C145+D145)/2</f>
        <v>43010.5</v>
      </c>
      <c r="K145" t="s">
        <v>134</v>
      </c>
    </row>
    <row r="146" spans="1:13" ht="16" thickBot="1" x14ac:dyDescent="0.4">
      <c r="A146" s="65"/>
      <c r="B146" s="9"/>
      <c r="C146" s="4"/>
      <c r="D146" s="4"/>
      <c r="E146" s="4"/>
      <c r="F146" s="4"/>
      <c r="G146" s="4"/>
      <c r="H146" s="59"/>
      <c r="I146" s="4"/>
      <c r="J146" s="62">
        <f>((J145-J144)/(365/12))</f>
        <v>7.2821917808219174</v>
      </c>
      <c r="K146" t="s">
        <v>135</v>
      </c>
      <c r="M146" s="48">
        <f>J145-J144</f>
        <v>221.5</v>
      </c>
    </row>
    <row r="147" spans="1:13" ht="16.5" thickTop="1" thickBot="1" x14ac:dyDescent="0.4">
      <c r="A147" s="66" t="s">
        <v>205</v>
      </c>
      <c r="B147" s="4" t="s">
        <v>129</v>
      </c>
      <c r="C147" s="4"/>
      <c r="D147" s="4"/>
      <c r="E147" s="4"/>
      <c r="F147" s="54"/>
      <c r="G147" s="4"/>
      <c r="H147" s="59"/>
      <c r="I147" s="4"/>
    </row>
    <row r="148" spans="1:13" ht="16.5" thickTop="1" thickBot="1" x14ac:dyDescent="0.4">
      <c r="A148" s="65"/>
      <c r="B148" s="4"/>
      <c r="C148" s="4"/>
      <c r="D148" s="4"/>
      <c r="E148" s="4"/>
      <c r="F148" s="4"/>
      <c r="G148" s="4"/>
      <c r="H148" s="59"/>
      <c r="I148" s="4"/>
    </row>
    <row r="149" spans="1:13" ht="16.5" thickTop="1" thickBot="1" x14ac:dyDescent="0.4">
      <c r="A149" s="66" t="s">
        <v>206</v>
      </c>
      <c r="B149" s="4" t="s">
        <v>130</v>
      </c>
      <c r="C149" s="4"/>
      <c r="D149" s="4"/>
      <c r="E149" s="4"/>
      <c r="F149" s="95">
        <v>340</v>
      </c>
      <c r="G149" s="4"/>
      <c r="H149" s="59"/>
      <c r="I149" s="4"/>
    </row>
    <row r="150" spans="1:13" ht="16" thickTop="1" x14ac:dyDescent="0.35">
      <c r="A150" s="66"/>
      <c r="B150" s="4"/>
      <c r="C150" s="4"/>
      <c r="D150" s="4"/>
      <c r="E150" s="4"/>
      <c r="F150" s="7"/>
      <c r="G150" s="4"/>
      <c r="H150" s="59"/>
      <c r="I150" s="4"/>
    </row>
    <row r="151" spans="1:13" ht="15.5" x14ac:dyDescent="0.35">
      <c r="A151" s="66"/>
      <c r="B151" s="4" t="s">
        <v>138</v>
      </c>
      <c r="C151" s="4"/>
      <c r="D151" s="4"/>
      <c r="E151" s="4"/>
      <c r="F151" s="7"/>
      <c r="G151" s="4"/>
      <c r="H151" s="194">
        <f>IF(H60=0,0,((F149-F147)/H60))</f>
        <v>0.85</v>
      </c>
      <c r="I151" s="4"/>
    </row>
    <row r="152" spans="1:13" ht="16" thickBot="1" x14ac:dyDescent="0.4">
      <c r="A152" s="65"/>
      <c r="B152" s="4"/>
      <c r="C152" s="25" t="s">
        <v>201</v>
      </c>
      <c r="D152" s="4"/>
      <c r="E152" s="4"/>
      <c r="F152" s="4"/>
      <c r="G152" s="4"/>
      <c r="H152" s="59"/>
      <c r="I152" s="4"/>
    </row>
    <row r="153" spans="1:13" ht="16.5" thickTop="1" thickBot="1" x14ac:dyDescent="0.4">
      <c r="A153" s="66" t="s">
        <v>207</v>
      </c>
      <c r="B153" s="4" t="s">
        <v>137</v>
      </c>
      <c r="C153" s="114">
        <f>J146</f>
        <v>7.2821917808219174</v>
      </c>
      <c r="D153" s="25" t="s">
        <v>43</v>
      </c>
      <c r="E153" s="4"/>
      <c r="F153" s="63">
        <v>7.5</v>
      </c>
      <c r="G153" s="4"/>
      <c r="H153" s="59"/>
      <c r="I153" s="4"/>
    </row>
    <row r="154" spans="1:13" ht="16" thickTop="1" x14ac:dyDescent="0.35">
      <c r="A154" s="65"/>
      <c r="B154" s="4"/>
      <c r="C154" s="4"/>
      <c r="D154" s="4"/>
      <c r="E154" s="4"/>
      <c r="F154" s="4"/>
      <c r="G154" s="4"/>
      <c r="H154" s="4"/>
      <c r="I154" s="4"/>
    </row>
    <row r="155" spans="1:13" ht="15.5" x14ac:dyDescent="0.35">
      <c r="A155" s="65"/>
      <c r="B155" s="20" t="s">
        <v>152</v>
      </c>
      <c r="C155" s="4"/>
      <c r="D155" s="4"/>
      <c r="E155" s="17"/>
      <c r="F155" s="17"/>
      <c r="G155" s="10"/>
      <c r="H155" s="4"/>
      <c r="I155" s="4"/>
    </row>
    <row r="156" spans="1:13" ht="15.5" x14ac:dyDescent="0.35">
      <c r="A156" s="64"/>
      <c r="B156" s="4"/>
      <c r="C156" s="4"/>
      <c r="D156" s="4"/>
      <c r="E156" s="4"/>
      <c r="F156" s="4"/>
      <c r="G156" s="4"/>
      <c r="H156" s="4"/>
      <c r="I156" s="4"/>
    </row>
    <row r="157" spans="1:13" x14ac:dyDescent="0.25">
      <c r="A157" s="64"/>
    </row>
    <row r="158" spans="1:13" x14ac:dyDescent="0.25">
      <c r="A158" s="64"/>
    </row>
    <row r="159" spans="1:13" x14ac:dyDescent="0.25">
      <c r="A159" s="64"/>
    </row>
  </sheetData>
  <sheetProtection sheet="1" objects="1" scenarios="1"/>
  <mergeCells count="2">
    <mergeCell ref="B1:I1"/>
    <mergeCell ref="C3:F3"/>
  </mergeCells>
  <phoneticPr fontId="0" type="noConversion"/>
  <pageMargins left="0.75" right="0.75" top="1" bottom="1" header="0.5" footer="0.5"/>
  <pageSetup scale="72" orientation="portrait" r:id="rId1"/>
  <headerFooter alignWithMargins="0">
    <oddFooter>&amp;L&amp;F&amp;R&amp;A
Page &amp;P of &amp;N</oddFooter>
  </headerFooter>
  <rowBreaks count="2" manualBreakCount="2">
    <brk id="60" max="8" man="1"/>
    <brk id="10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0"/>
  <sheetViews>
    <sheetView workbookViewId="0">
      <selection activeCell="I26" sqref="I26"/>
    </sheetView>
  </sheetViews>
  <sheetFormatPr defaultRowHeight="12.5" x14ac:dyDescent="0.25"/>
  <cols>
    <col min="1" max="1" width="4" customWidth="1"/>
    <col min="7" max="7" width="9.26953125" bestFit="1" customWidth="1"/>
    <col min="8" max="8" width="10.453125" customWidth="1"/>
    <col min="9" max="9" width="12.81640625" customWidth="1"/>
  </cols>
  <sheetData>
    <row r="1" spans="2:16" ht="18" x14ac:dyDescent="0.4">
      <c r="B1" s="236" t="s">
        <v>32</v>
      </c>
      <c r="C1" s="236"/>
      <c r="D1" s="236"/>
      <c r="E1" s="236"/>
      <c r="F1" s="236"/>
      <c r="G1" s="236"/>
      <c r="H1" s="236"/>
      <c r="I1" s="236"/>
      <c r="J1" s="236"/>
      <c r="K1" s="233"/>
      <c r="L1" s="237"/>
    </row>
    <row r="3" spans="2:16" x14ac:dyDescent="0.25">
      <c r="B3" s="25" t="s">
        <v>192</v>
      </c>
      <c r="D3" s="24"/>
      <c r="E3" s="238" t="str">
        <f>'1. SPA Reproduction Data '!C3</f>
        <v xml:space="preserve">Example </v>
      </c>
      <c r="F3" s="237"/>
      <c r="G3" s="237"/>
      <c r="H3" s="237"/>
      <c r="I3" s="237"/>
      <c r="J3" s="237"/>
    </row>
    <row r="4" spans="2:16" ht="13" x14ac:dyDescent="0.3">
      <c r="B4" s="25"/>
      <c r="C4" s="26" t="s">
        <v>33</v>
      </c>
      <c r="D4" s="25"/>
      <c r="F4" s="27"/>
      <c r="G4" s="25"/>
      <c r="H4" s="26" t="s">
        <v>34</v>
      </c>
      <c r="I4" s="26"/>
      <c r="J4" s="48">
        <f>'1. SPA Reproduction Data '!D6</f>
        <v>2017</v>
      </c>
    </row>
    <row r="5" spans="2:16" ht="13" x14ac:dyDescent="0.3">
      <c r="B5" s="25"/>
      <c r="C5" s="26"/>
      <c r="D5" s="25"/>
      <c r="E5" s="25"/>
      <c r="F5" s="25"/>
      <c r="G5" s="25"/>
      <c r="H5" s="25"/>
      <c r="I5" s="25"/>
      <c r="J5" s="26"/>
      <c r="L5" s="28"/>
      <c r="M5" s="28"/>
      <c r="N5" s="28"/>
      <c r="O5" s="28"/>
      <c r="P5" s="27"/>
    </row>
    <row r="6" spans="2:16" ht="13" x14ac:dyDescent="0.3">
      <c r="B6" s="25"/>
      <c r="C6" s="25"/>
      <c r="D6" s="25"/>
      <c r="E6" s="25"/>
      <c r="F6" s="25"/>
      <c r="G6" s="26"/>
      <c r="H6" s="29" t="s">
        <v>31</v>
      </c>
      <c r="I6" s="29" t="s">
        <v>36</v>
      </c>
      <c r="J6" s="26" t="s">
        <v>35</v>
      </c>
      <c r="K6" s="29" t="s">
        <v>36</v>
      </c>
      <c r="L6" s="29" t="s">
        <v>36</v>
      </c>
      <c r="N6" s="30"/>
      <c r="O6" s="30"/>
      <c r="P6" s="31"/>
    </row>
    <row r="7" spans="2:16" ht="13" x14ac:dyDescent="0.3">
      <c r="B7" s="26" t="s">
        <v>37</v>
      </c>
      <c r="C7" s="25"/>
      <c r="D7" s="25"/>
      <c r="E7" s="25"/>
      <c r="F7" s="25"/>
      <c r="G7" s="29" t="s">
        <v>11</v>
      </c>
      <c r="H7" s="29" t="s">
        <v>38</v>
      </c>
      <c r="I7" s="29" t="s">
        <v>40</v>
      </c>
      <c r="J7" s="26" t="s">
        <v>39</v>
      </c>
      <c r="K7" s="29" t="s">
        <v>42</v>
      </c>
      <c r="L7" s="29" t="s">
        <v>41</v>
      </c>
      <c r="N7" s="32"/>
      <c r="O7" s="30"/>
      <c r="P7" s="33"/>
    </row>
    <row r="8" spans="2:16" ht="13" x14ac:dyDescent="0.3">
      <c r="B8" s="25"/>
      <c r="C8" s="25"/>
      <c r="D8" s="25"/>
      <c r="E8" s="25"/>
      <c r="F8" s="25"/>
      <c r="G8" s="26"/>
      <c r="H8" s="29" t="s">
        <v>44</v>
      </c>
      <c r="I8" s="26"/>
      <c r="J8" s="29" t="s">
        <v>44</v>
      </c>
    </row>
    <row r="9" spans="2:16" x14ac:dyDescent="0.25">
      <c r="B9" s="34"/>
      <c r="C9" s="34" t="s">
        <v>45</v>
      </c>
      <c r="D9" s="34"/>
      <c r="E9" s="34"/>
      <c r="F9" s="34"/>
      <c r="G9" s="25"/>
      <c r="H9" s="25"/>
      <c r="I9" s="25"/>
      <c r="J9" s="25"/>
    </row>
    <row r="10" spans="2:16" x14ac:dyDescent="0.25">
      <c r="B10" s="34"/>
      <c r="C10" s="34"/>
      <c r="D10" s="34" t="s">
        <v>46</v>
      </c>
      <c r="E10" s="34"/>
      <c r="F10" s="34"/>
      <c r="G10" s="35"/>
      <c r="H10" s="35"/>
      <c r="I10" s="101"/>
      <c r="J10" s="36">
        <f>IF(G10=0,0,H10/G10)</f>
        <v>0</v>
      </c>
      <c r="K10" s="105">
        <f>(J10*L10*0.01)</f>
        <v>0</v>
      </c>
      <c r="L10" s="37">
        <f>IF(H10=0,0,I10/H10)*100</f>
        <v>0</v>
      </c>
    </row>
    <row r="11" spans="2:16" x14ac:dyDescent="0.25">
      <c r="B11" s="34"/>
      <c r="C11" s="34"/>
      <c r="D11" s="34"/>
      <c r="E11" s="34"/>
      <c r="F11" s="34"/>
      <c r="G11" s="38"/>
      <c r="H11" s="38"/>
      <c r="I11" s="102"/>
      <c r="J11" s="39"/>
      <c r="K11" s="105"/>
    </row>
    <row r="12" spans="2:16" x14ac:dyDescent="0.25">
      <c r="B12" s="34"/>
      <c r="C12" s="34"/>
      <c r="D12" s="34" t="s">
        <v>47</v>
      </c>
      <c r="E12" s="34"/>
      <c r="F12" s="34"/>
      <c r="G12" s="35">
        <v>0</v>
      </c>
      <c r="H12" s="35">
        <v>0</v>
      </c>
      <c r="I12" s="101">
        <v>0</v>
      </c>
      <c r="J12" s="36">
        <f>IF(G12=0,0,H12/G12)</f>
        <v>0</v>
      </c>
      <c r="K12" s="105">
        <f>(J12*L12*0.01)</f>
        <v>0</v>
      </c>
      <c r="L12" s="37">
        <f>IF(H12=0,0,I12/H12)*100</f>
        <v>0</v>
      </c>
    </row>
    <row r="13" spans="2:16" x14ac:dyDescent="0.25">
      <c r="B13" s="34"/>
      <c r="C13" s="34"/>
      <c r="D13" s="34"/>
      <c r="E13" s="34"/>
      <c r="F13" s="34"/>
      <c r="G13" s="38"/>
      <c r="H13" s="38"/>
      <c r="I13" s="102"/>
      <c r="J13" s="39"/>
      <c r="K13" s="105"/>
    </row>
    <row r="14" spans="2:16" ht="13" x14ac:dyDescent="0.3">
      <c r="B14" s="34"/>
      <c r="C14" s="34" t="s">
        <v>48</v>
      </c>
      <c r="D14" s="34"/>
      <c r="E14" s="34"/>
      <c r="F14" s="34"/>
      <c r="G14" s="40">
        <f>G10+G12</f>
        <v>0</v>
      </c>
      <c r="H14" s="40">
        <f>H10+H12</f>
        <v>0</v>
      </c>
      <c r="I14" s="103">
        <f>I10+I12</f>
        <v>0</v>
      </c>
      <c r="J14" s="36">
        <f>IF(G14=0,0,H14/G14)</f>
        <v>0</v>
      </c>
      <c r="K14" s="106">
        <f>(J14*L14*0.01)</f>
        <v>0</v>
      </c>
      <c r="L14" s="41">
        <f>IF(H14=0,0,I14/H14)*100</f>
        <v>0</v>
      </c>
    </row>
    <row r="15" spans="2:16" x14ac:dyDescent="0.25">
      <c r="B15" s="34"/>
      <c r="C15" s="34"/>
      <c r="D15" s="34"/>
      <c r="E15" s="34"/>
      <c r="F15" s="34"/>
      <c r="G15" s="38"/>
      <c r="H15" s="38"/>
      <c r="I15" s="102"/>
      <c r="J15" s="39"/>
      <c r="K15" s="105"/>
    </row>
    <row r="16" spans="2:16" x14ac:dyDescent="0.25">
      <c r="B16" s="34"/>
      <c r="C16" s="34" t="s">
        <v>49</v>
      </c>
      <c r="D16" s="34"/>
      <c r="E16" s="34"/>
      <c r="F16" s="34"/>
      <c r="G16" s="38"/>
      <c r="H16" s="38"/>
      <c r="I16" s="102"/>
      <c r="J16" s="39"/>
      <c r="K16" s="105"/>
    </row>
    <row r="17" spans="2:12" x14ac:dyDescent="0.25">
      <c r="B17" s="34"/>
      <c r="C17" s="34"/>
      <c r="D17" s="34" t="s">
        <v>46</v>
      </c>
      <c r="E17" s="34"/>
      <c r="F17" s="34"/>
      <c r="G17" s="35">
        <v>173</v>
      </c>
      <c r="H17" s="35">
        <f>G17*550</f>
        <v>95150</v>
      </c>
      <c r="I17" s="35">
        <f>H17*1.6</f>
        <v>152240</v>
      </c>
      <c r="J17" s="36">
        <f>IF(G17=0,0,H17/G17)</f>
        <v>550</v>
      </c>
      <c r="K17" s="107">
        <f>(J17*L17*0.01)</f>
        <v>880</v>
      </c>
      <c r="L17" s="37">
        <f>IF(H17=0,0,I17/H17)*100</f>
        <v>160</v>
      </c>
    </row>
    <row r="18" spans="2:12" x14ac:dyDescent="0.25">
      <c r="B18" s="34"/>
      <c r="C18" s="34"/>
      <c r="D18" s="34"/>
      <c r="E18" s="34"/>
      <c r="F18" s="34"/>
      <c r="G18" s="38"/>
      <c r="H18" s="38"/>
      <c r="I18" s="102"/>
      <c r="J18" s="39"/>
      <c r="K18" s="105"/>
    </row>
    <row r="19" spans="2:12" x14ac:dyDescent="0.25">
      <c r="B19" s="34"/>
      <c r="C19" s="34"/>
      <c r="D19" s="34" t="s">
        <v>47</v>
      </c>
      <c r="E19" s="34"/>
      <c r="F19" s="34"/>
      <c r="G19" s="35">
        <v>0</v>
      </c>
      <c r="H19" s="35">
        <v>0</v>
      </c>
      <c r="I19" s="101">
        <v>0</v>
      </c>
      <c r="J19" s="36">
        <f>IF(G19=0,0,H19/G19)</f>
        <v>0</v>
      </c>
      <c r="K19" s="107">
        <f>(J19*L19*0.01)</f>
        <v>0</v>
      </c>
      <c r="L19" s="37">
        <f>IF(H19=0,0,I19/H19)*100</f>
        <v>0</v>
      </c>
    </row>
    <row r="20" spans="2:12" x14ac:dyDescent="0.25">
      <c r="B20" s="34"/>
      <c r="C20" s="34"/>
      <c r="D20" s="34"/>
      <c r="E20" s="34"/>
      <c r="F20" s="34"/>
      <c r="G20" s="38"/>
      <c r="H20" s="38"/>
      <c r="I20" s="102"/>
      <c r="J20" s="39"/>
      <c r="K20" s="105"/>
    </row>
    <row r="21" spans="2:12" ht="13" x14ac:dyDescent="0.3">
      <c r="B21" s="34"/>
      <c r="C21" s="34" t="s">
        <v>50</v>
      </c>
      <c r="D21" s="34"/>
      <c r="E21" s="34"/>
      <c r="F21" s="34"/>
      <c r="G21" s="40">
        <f>G17+G19</f>
        <v>173</v>
      </c>
      <c r="H21" s="40">
        <f>H17+H19</f>
        <v>95150</v>
      </c>
      <c r="I21" s="103">
        <f>I17+I19</f>
        <v>152240</v>
      </c>
      <c r="J21" s="36">
        <f>IF(G21=0,0,H21/G21)</f>
        <v>550</v>
      </c>
      <c r="K21" s="106">
        <f>(J21*L21*0.01)</f>
        <v>880</v>
      </c>
      <c r="L21" s="41">
        <f>IF(H21=0,0,I21/H21)*100</f>
        <v>160</v>
      </c>
    </row>
    <row r="22" spans="2:12" x14ac:dyDescent="0.25">
      <c r="B22" s="34"/>
      <c r="C22" s="34"/>
      <c r="D22" s="34"/>
      <c r="E22" s="34"/>
      <c r="F22" s="34"/>
      <c r="G22" s="38"/>
      <c r="H22" s="38"/>
      <c r="I22" s="102"/>
      <c r="J22" s="39"/>
      <c r="K22" s="105"/>
    </row>
    <row r="23" spans="2:12" x14ac:dyDescent="0.25">
      <c r="B23" s="34"/>
      <c r="C23" s="34" t="s">
        <v>51</v>
      </c>
      <c r="D23" s="34"/>
      <c r="E23" s="34"/>
      <c r="F23" s="34"/>
      <c r="G23" s="38"/>
      <c r="H23" s="38"/>
      <c r="I23" s="102"/>
      <c r="J23" s="39"/>
      <c r="K23" s="105"/>
    </row>
    <row r="24" spans="2:12" x14ac:dyDescent="0.25">
      <c r="B24" s="34"/>
      <c r="C24" s="34"/>
      <c r="D24" s="34" t="s">
        <v>46</v>
      </c>
      <c r="E24" s="34"/>
      <c r="F24" s="34"/>
      <c r="G24" s="35">
        <v>119</v>
      </c>
      <c r="H24" s="35">
        <f>G24*525</f>
        <v>62475</v>
      </c>
      <c r="I24" s="101">
        <f>H24*1.4</f>
        <v>87465</v>
      </c>
      <c r="J24" s="36">
        <f>IF(G24=0,0,H24/G24)</f>
        <v>525</v>
      </c>
      <c r="K24" s="107">
        <f>(J24*L24*0.01)</f>
        <v>735</v>
      </c>
      <c r="L24" s="42">
        <f>IF(H24=0,0,I24/H24)*100</f>
        <v>140</v>
      </c>
    </row>
    <row r="25" spans="2:12" x14ac:dyDescent="0.25">
      <c r="B25" s="34"/>
      <c r="C25" s="34"/>
      <c r="D25" s="34"/>
      <c r="E25" s="34"/>
      <c r="F25" s="34"/>
      <c r="G25" s="38"/>
      <c r="H25" s="38"/>
      <c r="I25" s="102"/>
      <c r="J25" s="39"/>
      <c r="K25" s="105"/>
    </row>
    <row r="26" spans="2:12" ht="13" x14ac:dyDescent="0.3">
      <c r="B26" s="34"/>
      <c r="C26" s="34"/>
      <c r="D26" s="34" t="s">
        <v>47</v>
      </c>
      <c r="E26" s="34"/>
      <c r="F26" s="34"/>
      <c r="G26" s="35">
        <v>48</v>
      </c>
      <c r="H26" s="35">
        <f>G26*525</f>
        <v>25200</v>
      </c>
      <c r="I26" s="101">
        <f>H26*1.5</f>
        <v>37800</v>
      </c>
      <c r="J26" s="36">
        <f>IF(G26=0,0,H26/G26)</f>
        <v>525</v>
      </c>
      <c r="K26" s="106">
        <f>(J26*L26*0.01)</f>
        <v>787.5</v>
      </c>
      <c r="L26" s="42">
        <f>IF(H26=0,0,I26/H26)*100</f>
        <v>150</v>
      </c>
    </row>
    <row r="27" spans="2:12" x14ac:dyDescent="0.25">
      <c r="B27" s="34"/>
      <c r="C27" s="34"/>
      <c r="D27" s="34"/>
      <c r="E27" s="34"/>
      <c r="F27" s="34"/>
      <c r="G27" s="38"/>
      <c r="H27" s="38"/>
      <c r="I27" s="102"/>
      <c r="J27" s="39"/>
      <c r="K27" s="105"/>
    </row>
    <row r="28" spans="2:12" ht="13" x14ac:dyDescent="0.3">
      <c r="B28" s="34"/>
      <c r="C28" s="34"/>
      <c r="D28" s="34"/>
      <c r="E28" s="34"/>
      <c r="F28" s="34"/>
      <c r="G28" s="38"/>
      <c r="H28" s="38"/>
      <c r="I28" s="104"/>
      <c r="J28" s="39"/>
      <c r="K28" s="105"/>
    </row>
    <row r="29" spans="2:12" x14ac:dyDescent="0.25">
      <c r="B29" s="34"/>
      <c r="C29" s="34"/>
      <c r="D29" s="34" t="s">
        <v>52</v>
      </c>
      <c r="E29" s="34"/>
      <c r="F29" s="34"/>
      <c r="G29" s="35"/>
      <c r="H29" s="35"/>
      <c r="I29" s="101"/>
      <c r="J29" s="36">
        <f>IF(G29=0,0,H29/G29)</f>
        <v>0</v>
      </c>
      <c r="K29" s="107">
        <f>(J29*L29*0.01)</f>
        <v>0</v>
      </c>
      <c r="L29" s="42">
        <f>IF(H29=0,0,I29/H29)*100</f>
        <v>0</v>
      </c>
    </row>
    <row r="30" spans="2:12" x14ac:dyDescent="0.25">
      <c r="B30" s="34"/>
      <c r="C30" s="34"/>
      <c r="D30" s="34"/>
      <c r="E30" s="34"/>
      <c r="F30" s="34"/>
      <c r="G30" s="38"/>
      <c r="H30" s="38"/>
      <c r="I30" s="34"/>
      <c r="J30" s="39"/>
      <c r="K30" s="105"/>
    </row>
    <row r="31" spans="2:12" ht="13" x14ac:dyDescent="0.3">
      <c r="B31" s="34"/>
      <c r="C31" s="34" t="s">
        <v>53</v>
      </c>
      <c r="D31" s="34"/>
      <c r="E31" s="34"/>
      <c r="F31" s="34"/>
      <c r="G31" s="40">
        <f>SUM(G24:G29)</f>
        <v>167</v>
      </c>
      <c r="H31" s="40">
        <f>SUM(H24:H29)</f>
        <v>87675</v>
      </c>
      <c r="I31" s="43">
        <f>SUM(I24:I29)</f>
        <v>125265</v>
      </c>
      <c r="J31" s="36">
        <f>IF(G31=0,0,H31/G31)</f>
        <v>525</v>
      </c>
      <c r="K31" s="106">
        <f>(J31*L31*0.01)</f>
        <v>750.08982035928148</v>
      </c>
      <c r="L31" s="41">
        <f>IF(H31=0,0,I31/H31)*100</f>
        <v>142.87425149700599</v>
      </c>
    </row>
    <row r="32" spans="2:12" x14ac:dyDescent="0.25">
      <c r="B32" s="34"/>
      <c r="C32" s="34"/>
      <c r="D32" s="34"/>
      <c r="E32" s="34"/>
      <c r="F32" s="34"/>
      <c r="G32" s="38"/>
      <c r="H32" s="38"/>
      <c r="I32" s="34"/>
      <c r="J32" s="39"/>
      <c r="K32" s="105"/>
    </row>
    <row r="33" spans="2:12" ht="13" x14ac:dyDescent="0.3">
      <c r="B33" s="26" t="s">
        <v>54</v>
      </c>
      <c r="C33" s="26"/>
      <c r="D33" s="26"/>
      <c r="E33" s="26"/>
      <c r="F33" s="26"/>
      <c r="G33" s="38"/>
      <c r="H33" s="38"/>
      <c r="I33" s="34"/>
      <c r="J33" s="39"/>
      <c r="K33" s="105"/>
    </row>
    <row r="34" spans="2:12" ht="13" x14ac:dyDescent="0.3">
      <c r="B34" s="26" t="s">
        <v>55</v>
      </c>
      <c r="C34" s="26"/>
      <c r="D34" s="26"/>
      <c r="E34" s="26"/>
      <c r="F34" s="26"/>
      <c r="G34" s="40">
        <f>(G14+G21+G31)</f>
        <v>340</v>
      </c>
      <c r="H34" s="40">
        <f>(H14+H21+H31)</f>
        <v>182825</v>
      </c>
      <c r="I34" s="43">
        <f>(I14+I21+I31)</f>
        <v>277505</v>
      </c>
      <c r="J34" s="82">
        <f>IF(G34=0,0,H34/G34)</f>
        <v>537.72058823529414</v>
      </c>
      <c r="K34" s="106">
        <f>(J34*L34*0.01)</f>
        <v>816.19117647058829</v>
      </c>
      <c r="L34" s="41">
        <f>IF(H34=0,0,I34/H34)*100</f>
        <v>151.7872282237112</v>
      </c>
    </row>
    <row r="36" spans="2:12" ht="18" x14ac:dyDescent="0.4">
      <c r="B36" s="236" t="s">
        <v>182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7"/>
    </row>
    <row r="38" spans="2:12" x14ac:dyDescent="0.25">
      <c r="B38" t="s">
        <v>56</v>
      </c>
      <c r="F38" t="s">
        <v>57</v>
      </c>
      <c r="H38" s="34" t="s">
        <v>11</v>
      </c>
      <c r="I38" s="84">
        <f>G34</f>
        <v>340</v>
      </c>
    </row>
    <row r="39" spans="2:12" x14ac:dyDescent="0.25">
      <c r="H39" s="34"/>
      <c r="I39" s="83"/>
    </row>
    <row r="40" spans="2:12" x14ac:dyDescent="0.25">
      <c r="B40" t="s">
        <v>58</v>
      </c>
      <c r="F40" t="s">
        <v>59</v>
      </c>
      <c r="H40" s="34" t="s">
        <v>177</v>
      </c>
      <c r="I40" s="84">
        <f>H34</f>
        <v>182825</v>
      </c>
    </row>
    <row r="41" spans="2:12" x14ac:dyDescent="0.25">
      <c r="H41" s="34"/>
      <c r="I41" s="83"/>
    </row>
    <row r="42" spans="2:12" x14ac:dyDescent="0.25">
      <c r="B42" s="34" t="s">
        <v>61</v>
      </c>
      <c r="F42" t="s">
        <v>62</v>
      </c>
      <c r="H42" s="34" t="s">
        <v>177</v>
      </c>
      <c r="I42" s="85">
        <f>IF(I38=0,0,I40/I38)</f>
        <v>537.72058823529414</v>
      </c>
    </row>
    <row r="43" spans="2:12" x14ac:dyDescent="0.25">
      <c r="B43" s="34"/>
      <c r="H43" s="34"/>
      <c r="I43" s="34"/>
    </row>
    <row r="44" spans="2:12" x14ac:dyDescent="0.25">
      <c r="B44" s="34" t="s">
        <v>142</v>
      </c>
      <c r="F44" t="s">
        <v>63</v>
      </c>
      <c r="H44" s="34" t="s">
        <v>11</v>
      </c>
      <c r="I44" s="84">
        <f>'1. SPA Reproduction Data '!H60</f>
        <v>400</v>
      </c>
    </row>
    <row r="45" spans="2:12" x14ac:dyDescent="0.25">
      <c r="I45" s="44"/>
    </row>
    <row r="46" spans="2:12" ht="13" x14ac:dyDescent="0.3">
      <c r="B46" s="26" t="s">
        <v>64</v>
      </c>
      <c r="F46" t="s">
        <v>65</v>
      </c>
      <c r="H46" s="26" t="s">
        <v>7</v>
      </c>
      <c r="I46" s="72">
        <f>IF(I44=0,0,(I38/I44))</f>
        <v>0.85</v>
      </c>
    </row>
    <row r="47" spans="2:12" x14ac:dyDescent="0.25">
      <c r="H47" s="34"/>
      <c r="I47" s="45"/>
    </row>
    <row r="48" spans="2:12" x14ac:dyDescent="0.25">
      <c r="H48" s="34"/>
      <c r="I48" s="46"/>
    </row>
    <row r="49" spans="2:10" ht="13" x14ac:dyDescent="0.3">
      <c r="B49" s="26" t="s">
        <v>66</v>
      </c>
      <c r="F49" t="s">
        <v>67</v>
      </c>
      <c r="H49" s="26" t="s">
        <v>60</v>
      </c>
      <c r="I49" s="47">
        <f>IF(I44=0,0,I40/I44)</f>
        <v>457.0625</v>
      </c>
    </row>
    <row r="50" spans="2:10" x14ac:dyDescent="0.25">
      <c r="B50" t="s">
        <v>68</v>
      </c>
    </row>
    <row r="51" spans="2:10" ht="13" x14ac:dyDescent="0.3">
      <c r="B51" s="26" t="s">
        <v>136</v>
      </c>
      <c r="C51" s="26"/>
    </row>
    <row r="52" spans="2:10" ht="13" x14ac:dyDescent="0.3">
      <c r="B52" t="s">
        <v>179</v>
      </c>
      <c r="H52" s="26" t="s">
        <v>9</v>
      </c>
      <c r="I52" s="51">
        <f>'1. SPA Reproduction Data '!M146</f>
        <v>221.5</v>
      </c>
    </row>
    <row r="53" spans="2:10" ht="13" x14ac:dyDescent="0.3">
      <c r="B53" t="s">
        <v>179</v>
      </c>
      <c r="H53" s="26" t="s">
        <v>43</v>
      </c>
      <c r="I53" s="80">
        <f>'1. SPA Reproduction Data '!J146</f>
        <v>7.2821917808219174</v>
      </c>
    </row>
    <row r="54" spans="2:10" ht="13" x14ac:dyDescent="0.3">
      <c r="B54" t="s">
        <v>180</v>
      </c>
      <c r="H54" s="26" t="s">
        <v>177</v>
      </c>
      <c r="I54" s="49">
        <v>75</v>
      </c>
    </row>
    <row r="55" spans="2:10" ht="13" x14ac:dyDescent="0.3">
      <c r="H55" s="26"/>
      <c r="I55" s="50"/>
    </row>
    <row r="56" spans="2:10" ht="13" x14ac:dyDescent="0.3">
      <c r="B56" s="26" t="s">
        <v>181</v>
      </c>
      <c r="C56" s="26"/>
      <c r="D56" s="26"/>
      <c r="E56" s="26"/>
      <c r="F56" s="26"/>
      <c r="G56" s="26"/>
      <c r="H56" s="26" t="s">
        <v>178</v>
      </c>
      <c r="I56" s="81">
        <f>IF(I52=0,0,(I42-I54)/I52)</f>
        <v>2.089032001062276</v>
      </c>
    </row>
    <row r="57" spans="2:10" x14ac:dyDescent="0.25">
      <c r="B57" t="s">
        <v>68</v>
      </c>
    </row>
    <row r="58" spans="2:10" ht="13" x14ac:dyDescent="0.3">
      <c r="B58" s="26"/>
      <c r="H58" s="51"/>
      <c r="I58" s="51"/>
      <c r="J58" s="26"/>
    </row>
    <row r="60" spans="2:10" ht="13" x14ac:dyDescent="0.3">
      <c r="B60" s="26"/>
    </row>
  </sheetData>
  <sheetProtection sheet="1" objects="1" scenarios="1"/>
  <mergeCells count="3">
    <mergeCell ref="B36:L36"/>
    <mergeCell ref="B1:L1"/>
    <mergeCell ref="E3:J3"/>
  </mergeCells>
  <phoneticPr fontId="6" type="noConversion"/>
  <pageMargins left="0.75" right="0.75" top="1" bottom="1" header="0.5" footer="0.5"/>
  <pageSetup scale="83"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>
      <selection activeCell="G9" sqref="G9"/>
    </sheetView>
  </sheetViews>
  <sheetFormatPr defaultRowHeight="12.5" x14ac:dyDescent="0.25"/>
  <cols>
    <col min="1" max="1" width="4.1796875" customWidth="1"/>
    <col min="2" max="2" width="24.453125" customWidth="1"/>
    <col min="4" max="4" width="4.1796875" customWidth="1"/>
    <col min="6" max="6" width="4.54296875" customWidth="1"/>
    <col min="7" max="7" width="12.1796875" customWidth="1"/>
    <col min="8" max="8" width="1.81640625" customWidth="1"/>
    <col min="9" max="9" width="14.54296875" customWidth="1"/>
    <col min="10" max="10" width="2.1796875" customWidth="1"/>
    <col min="11" max="11" width="11.453125" customWidth="1"/>
    <col min="12" max="12" width="12.1796875" customWidth="1"/>
    <col min="13" max="13" width="11.1796875" customWidth="1"/>
  </cols>
  <sheetData>
    <row r="1" spans="1:20" ht="18" x14ac:dyDescent="0.4">
      <c r="B1" s="236" t="s">
        <v>236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20" ht="15.5" x14ac:dyDescent="0.35">
      <c r="B2" s="3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0" ht="15.5" x14ac:dyDescent="0.35">
      <c r="B3" s="9" t="s">
        <v>263</v>
      </c>
      <c r="C3" s="18"/>
      <c r="F3" s="16"/>
      <c r="H3" s="16"/>
      <c r="I3" s="148">
        <f>'1. SPA Reproduction Data '!D6</f>
        <v>2017</v>
      </c>
      <c r="J3" s="16"/>
      <c r="K3" s="16"/>
      <c r="L3" s="16"/>
      <c r="M3" s="16"/>
    </row>
    <row r="4" spans="1:20" ht="15.5" x14ac:dyDescent="0.35">
      <c r="B4" s="4"/>
      <c r="C4" s="18"/>
      <c r="E4" s="141"/>
      <c r="F4" s="16"/>
      <c r="G4" s="16"/>
      <c r="H4" s="16"/>
      <c r="I4" s="16"/>
      <c r="J4" s="16"/>
      <c r="K4" s="16"/>
      <c r="L4" s="16"/>
      <c r="M4" s="16"/>
    </row>
    <row r="5" spans="1:20" ht="15.5" x14ac:dyDescent="0.35">
      <c r="A5" s="4"/>
      <c r="B5" s="4"/>
      <c r="C5" s="4"/>
      <c r="D5" s="4"/>
      <c r="E5" s="9"/>
      <c r="F5" s="9"/>
      <c r="G5" s="143" t="s">
        <v>31</v>
      </c>
      <c r="H5" s="9"/>
      <c r="I5" s="3" t="s">
        <v>36</v>
      </c>
      <c r="J5" s="9"/>
      <c r="K5" s="144" t="s">
        <v>35</v>
      </c>
      <c r="L5" s="3" t="s">
        <v>35</v>
      </c>
      <c r="M5" s="3" t="s">
        <v>35</v>
      </c>
    </row>
    <row r="6" spans="1:20" ht="15.5" x14ac:dyDescent="0.35">
      <c r="B6" s="9" t="s">
        <v>236</v>
      </c>
      <c r="C6" s="4"/>
      <c r="D6" s="4"/>
      <c r="E6" s="3" t="s">
        <v>11</v>
      </c>
      <c r="F6" s="9"/>
      <c r="G6" s="143" t="s">
        <v>38</v>
      </c>
      <c r="H6" s="9"/>
      <c r="I6" s="3" t="s">
        <v>40</v>
      </c>
      <c r="J6" s="9"/>
      <c r="K6" s="144" t="s">
        <v>237</v>
      </c>
      <c r="L6" s="3" t="s">
        <v>238</v>
      </c>
      <c r="M6" s="3" t="s">
        <v>238</v>
      </c>
    </row>
    <row r="7" spans="1:20" ht="15.5" x14ac:dyDescent="0.35">
      <c r="A7" s="4"/>
      <c r="B7" s="4"/>
      <c r="C7" s="4"/>
      <c r="D7" s="4"/>
      <c r="E7" s="9"/>
      <c r="F7" s="9"/>
      <c r="G7" s="143" t="s">
        <v>44</v>
      </c>
      <c r="H7" s="9"/>
      <c r="I7" s="9"/>
      <c r="J7" s="9"/>
      <c r="K7" s="144" t="s">
        <v>239</v>
      </c>
      <c r="L7" s="3" t="s">
        <v>240</v>
      </c>
      <c r="M7" s="3" t="s">
        <v>241</v>
      </c>
    </row>
    <row r="8" spans="1:20" ht="15.5" x14ac:dyDescent="0.35">
      <c r="A8" s="4"/>
      <c r="B8" s="9" t="s">
        <v>242</v>
      </c>
      <c r="C8" s="4"/>
      <c r="D8" s="4"/>
      <c r="E8" s="4"/>
      <c r="F8" s="4"/>
      <c r="G8" s="133"/>
      <c r="H8" s="4"/>
      <c r="I8" s="52"/>
      <c r="J8" s="4"/>
      <c r="K8" s="120"/>
      <c r="L8" s="52"/>
      <c r="M8" s="52"/>
    </row>
    <row r="9" spans="1:20" ht="15.5" x14ac:dyDescent="0.35">
      <c r="A9" s="4"/>
      <c r="B9" s="4" t="s">
        <v>243</v>
      </c>
      <c r="C9" s="4"/>
      <c r="D9" s="4"/>
      <c r="E9" s="121">
        <v>44</v>
      </c>
      <c r="F9" s="4"/>
      <c r="G9" s="134">
        <f>E9*1100</f>
        <v>48400</v>
      </c>
      <c r="H9" s="4"/>
      <c r="I9" s="122">
        <f>G9*0.6</f>
        <v>29040</v>
      </c>
      <c r="J9" s="4"/>
      <c r="K9" s="248">
        <f t="shared" ref="K9:K14" si="0">IF(E9=0,0,(G9/E9))</f>
        <v>1100</v>
      </c>
      <c r="L9" s="123">
        <f t="shared" ref="L9:L14" si="1">IF(G9=0,0,(I9/G9)*100)</f>
        <v>60</v>
      </c>
      <c r="M9" s="124">
        <f t="shared" ref="M9:M14" si="2">IF(E9=0,0,(I9/E9))</f>
        <v>660</v>
      </c>
    </row>
    <row r="10" spans="1:20" ht="15.5" x14ac:dyDescent="0.35">
      <c r="A10" s="4"/>
      <c r="B10" s="4" t="s">
        <v>258</v>
      </c>
      <c r="C10" s="4"/>
      <c r="D10" s="4"/>
      <c r="E10" s="121">
        <v>0</v>
      </c>
      <c r="F10" s="4"/>
      <c r="G10" s="134">
        <v>0</v>
      </c>
      <c r="H10" s="4"/>
      <c r="I10" s="122">
        <v>0</v>
      </c>
      <c r="J10" s="4"/>
      <c r="K10" s="248">
        <f t="shared" si="0"/>
        <v>0</v>
      </c>
      <c r="L10" s="123">
        <f t="shared" si="1"/>
        <v>0</v>
      </c>
      <c r="M10" s="124">
        <f t="shared" si="2"/>
        <v>0</v>
      </c>
    </row>
    <row r="11" spans="1:20" ht="15.5" x14ac:dyDescent="0.35">
      <c r="A11" s="4"/>
      <c r="B11" s="4"/>
      <c r="C11" s="4" t="s">
        <v>244</v>
      </c>
      <c r="D11" s="4"/>
      <c r="E11" s="125">
        <f>(E10+E9)</f>
        <v>44</v>
      </c>
      <c r="F11" s="4"/>
      <c r="G11" s="135">
        <f>(G10+G9)</f>
        <v>48400</v>
      </c>
      <c r="H11" s="4"/>
      <c r="I11" s="126">
        <f>(I10+I9)</f>
        <v>29040</v>
      </c>
      <c r="J11" s="4"/>
      <c r="K11" s="248">
        <f t="shared" si="0"/>
        <v>1100</v>
      </c>
      <c r="L11" s="123">
        <f t="shared" si="1"/>
        <v>60</v>
      </c>
      <c r="M11" s="124">
        <f t="shared" si="2"/>
        <v>660</v>
      </c>
    </row>
    <row r="12" spans="1:20" ht="15.5" x14ac:dyDescent="0.35">
      <c r="A12" s="4"/>
      <c r="B12" s="4" t="s">
        <v>245</v>
      </c>
      <c r="C12" s="4"/>
      <c r="D12" s="4"/>
      <c r="E12" s="121">
        <v>5</v>
      </c>
      <c r="F12" s="4"/>
      <c r="G12" s="134">
        <v>3840</v>
      </c>
      <c r="H12" s="4"/>
      <c r="I12" s="122">
        <f>G12*1.1</f>
        <v>4224</v>
      </c>
      <c r="J12" s="4"/>
      <c r="K12" s="248">
        <f t="shared" si="0"/>
        <v>768</v>
      </c>
      <c r="L12" s="123">
        <f t="shared" si="1"/>
        <v>110.00000000000001</v>
      </c>
      <c r="M12" s="124">
        <f t="shared" si="2"/>
        <v>844.8</v>
      </c>
    </row>
    <row r="13" spans="1:20" ht="15.5" x14ac:dyDescent="0.35">
      <c r="A13" s="4"/>
      <c r="B13" s="4" t="s">
        <v>259</v>
      </c>
      <c r="C13" s="4"/>
      <c r="D13" s="4"/>
      <c r="E13" s="121">
        <v>0</v>
      </c>
      <c r="F13" s="4"/>
      <c r="G13" s="134">
        <v>0</v>
      </c>
      <c r="H13" s="4"/>
      <c r="I13" s="122">
        <v>0</v>
      </c>
      <c r="J13" s="4"/>
      <c r="K13" s="248">
        <f t="shared" si="0"/>
        <v>0</v>
      </c>
      <c r="L13" s="123">
        <f t="shared" si="1"/>
        <v>0</v>
      </c>
      <c r="M13" s="124">
        <f t="shared" si="2"/>
        <v>0</v>
      </c>
    </row>
    <row r="14" spans="1:20" ht="15.5" x14ac:dyDescent="0.35">
      <c r="A14" s="4"/>
      <c r="B14" s="4"/>
      <c r="C14" s="4" t="s">
        <v>244</v>
      </c>
      <c r="D14" s="4"/>
      <c r="E14" s="125">
        <f>(E12+E13)</f>
        <v>5</v>
      </c>
      <c r="F14" s="4"/>
      <c r="G14" s="135">
        <f>(G12+G13)</f>
        <v>3840</v>
      </c>
      <c r="H14" s="4"/>
      <c r="I14" s="126">
        <f>(I12+I13)</f>
        <v>4224</v>
      </c>
      <c r="J14" s="4"/>
      <c r="K14" s="248">
        <f t="shared" si="0"/>
        <v>768</v>
      </c>
      <c r="L14" s="123">
        <f t="shared" si="1"/>
        <v>110.00000000000001</v>
      </c>
      <c r="M14" s="124">
        <f t="shared" si="2"/>
        <v>844.8</v>
      </c>
      <c r="P14" t="s">
        <v>246</v>
      </c>
      <c r="R14" s="127">
        <f>(E11+E14)</f>
        <v>49</v>
      </c>
      <c r="S14" s="127">
        <f>(G11+G14)</f>
        <v>52240</v>
      </c>
      <c r="T14" s="127">
        <f>(I11+I14)</f>
        <v>33264</v>
      </c>
    </row>
    <row r="15" spans="1:20" ht="15.5" x14ac:dyDescent="0.35">
      <c r="A15" s="4"/>
      <c r="B15" s="9" t="s">
        <v>247</v>
      </c>
      <c r="C15" s="4"/>
      <c r="D15" s="4"/>
      <c r="E15" s="4"/>
      <c r="F15" s="4"/>
      <c r="G15" s="136"/>
      <c r="H15" s="4"/>
      <c r="I15" s="123"/>
      <c r="J15" s="4"/>
      <c r="K15" s="248"/>
      <c r="L15" s="52"/>
      <c r="M15" s="52"/>
    </row>
    <row r="16" spans="1:20" ht="15.5" x14ac:dyDescent="0.35">
      <c r="A16" s="4"/>
      <c r="B16" s="4" t="s">
        <v>248</v>
      </c>
      <c r="C16" s="4"/>
      <c r="D16" s="4"/>
      <c r="E16" s="121">
        <v>0</v>
      </c>
      <c r="F16" s="4"/>
      <c r="G16" s="136"/>
      <c r="H16" s="4"/>
      <c r="I16" s="122">
        <v>0</v>
      </c>
      <c r="J16" s="4"/>
      <c r="K16" s="248"/>
      <c r="L16" s="123"/>
      <c r="M16" s="124">
        <f t="shared" ref="M16:M22" si="3">IF(E16=0,0,(I16/E16))</f>
        <v>0</v>
      </c>
    </row>
    <row r="17" spans="1:20" ht="15.5" x14ac:dyDescent="0.35">
      <c r="A17" s="4"/>
      <c r="B17" s="4" t="s">
        <v>260</v>
      </c>
      <c r="C17" s="4"/>
      <c r="D17" s="4"/>
      <c r="E17" s="121">
        <v>0</v>
      </c>
      <c r="F17" s="4"/>
      <c r="G17" s="136"/>
      <c r="H17" s="4"/>
      <c r="I17" s="122">
        <v>0</v>
      </c>
      <c r="J17" s="4"/>
      <c r="K17" s="248"/>
      <c r="L17" s="123"/>
      <c r="M17" s="124">
        <f t="shared" si="3"/>
        <v>0</v>
      </c>
    </row>
    <row r="18" spans="1:20" ht="15.5" x14ac:dyDescent="0.35">
      <c r="A18" s="4"/>
      <c r="B18" s="4"/>
      <c r="C18" s="4" t="s">
        <v>244</v>
      </c>
      <c r="D18" s="4"/>
      <c r="E18" s="125">
        <f>(E17+E16)</f>
        <v>0</v>
      </c>
      <c r="F18" s="4"/>
      <c r="G18" s="137"/>
      <c r="H18" s="4"/>
      <c r="I18" s="126">
        <f>(I17+I16)</f>
        <v>0</v>
      </c>
      <c r="J18" s="4"/>
      <c r="K18" s="248"/>
      <c r="L18" s="52"/>
      <c r="M18" s="124">
        <f t="shared" si="3"/>
        <v>0</v>
      </c>
    </row>
    <row r="19" spans="1:20" ht="15.5" x14ac:dyDescent="0.35">
      <c r="A19" s="4"/>
      <c r="B19" s="4" t="s">
        <v>249</v>
      </c>
      <c r="C19" s="4"/>
      <c r="D19" s="4"/>
      <c r="E19" s="121">
        <v>0</v>
      </c>
      <c r="F19" s="4"/>
      <c r="G19" s="136"/>
      <c r="H19" s="4"/>
      <c r="I19" s="122">
        <v>0</v>
      </c>
      <c r="J19" s="4"/>
      <c r="K19" s="248"/>
      <c r="L19" s="123"/>
      <c r="M19" s="124">
        <f t="shared" si="3"/>
        <v>0</v>
      </c>
    </row>
    <row r="20" spans="1:20" ht="15.5" x14ac:dyDescent="0.35">
      <c r="A20" s="4"/>
      <c r="B20" s="4" t="s">
        <v>250</v>
      </c>
      <c r="C20" s="4"/>
      <c r="D20" s="4"/>
      <c r="E20" s="121">
        <v>0</v>
      </c>
      <c r="F20" s="4"/>
      <c r="G20" s="136"/>
      <c r="H20" s="4"/>
      <c r="I20" s="122">
        <v>0</v>
      </c>
      <c r="J20" s="4"/>
      <c r="K20" s="248"/>
      <c r="L20" s="123"/>
      <c r="M20" s="124">
        <f t="shared" si="3"/>
        <v>0</v>
      </c>
    </row>
    <row r="21" spans="1:20" ht="15.5" x14ac:dyDescent="0.35">
      <c r="A21" s="4"/>
      <c r="B21" s="4"/>
      <c r="C21" s="4" t="s">
        <v>244</v>
      </c>
      <c r="D21" s="4"/>
      <c r="E21" s="125">
        <f>(E20+E19)</f>
        <v>0</v>
      </c>
      <c r="F21" s="4"/>
      <c r="G21" s="138"/>
      <c r="H21" s="4"/>
      <c r="I21" s="126">
        <f>(I20+I19)</f>
        <v>0</v>
      </c>
      <c r="J21" s="4"/>
      <c r="K21" s="248"/>
      <c r="L21" s="52"/>
      <c r="M21" s="124">
        <f t="shared" si="3"/>
        <v>0</v>
      </c>
      <c r="P21" t="s">
        <v>251</v>
      </c>
      <c r="R21" s="127">
        <f>(E18+E21)</f>
        <v>0</v>
      </c>
      <c r="S21" s="127"/>
      <c r="T21" s="127">
        <f>(I18+I21)</f>
        <v>0</v>
      </c>
    </row>
    <row r="22" spans="1:20" ht="15.5" x14ac:dyDescent="0.35">
      <c r="A22" s="4"/>
      <c r="B22" s="9" t="s">
        <v>252</v>
      </c>
      <c r="C22" s="4"/>
      <c r="D22" s="4"/>
      <c r="E22" s="128">
        <f>(E11+E14+E18+E21)</f>
        <v>49</v>
      </c>
      <c r="F22" s="4"/>
      <c r="G22" s="138"/>
      <c r="H22" s="4"/>
      <c r="I22" s="129">
        <f>(I11+I14+I18+I21)</f>
        <v>33264</v>
      </c>
      <c r="J22" s="4"/>
      <c r="K22" s="249"/>
      <c r="L22" s="130"/>
      <c r="M22" s="131">
        <f t="shared" si="3"/>
        <v>678.85714285714289</v>
      </c>
    </row>
    <row r="23" spans="1:20" ht="15.5" x14ac:dyDescent="0.35">
      <c r="A23" s="4"/>
      <c r="B23" s="4"/>
      <c r="C23" s="4"/>
      <c r="D23" s="4"/>
      <c r="E23" s="4"/>
      <c r="F23" s="4"/>
      <c r="G23" s="138"/>
      <c r="H23" s="4"/>
      <c r="I23" s="52"/>
      <c r="J23" s="4"/>
      <c r="K23" s="248"/>
      <c r="L23" s="52"/>
      <c r="M23" s="52"/>
      <c r="P23" t="s">
        <v>31</v>
      </c>
      <c r="R23" s="127">
        <f>R14+R21</f>
        <v>49</v>
      </c>
      <c r="T23" s="127">
        <f>T14+T21</f>
        <v>33264</v>
      </c>
    </row>
    <row r="24" spans="1:20" ht="15.5" x14ac:dyDescent="0.35">
      <c r="A24" s="4"/>
      <c r="B24" s="9" t="s">
        <v>253</v>
      </c>
      <c r="C24" s="4"/>
      <c r="D24" s="4"/>
      <c r="E24" s="4"/>
      <c r="F24" s="4"/>
      <c r="G24" s="133"/>
      <c r="H24" s="4"/>
      <c r="I24" s="52"/>
      <c r="J24" s="4"/>
      <c r="K24" s="248"/>
      <c r="L24" s="52"/>
      <c r="M24" s="52"/>
    </row>
    <row r="25" spans="1:20" ht="15.5" x14ac:dyDescent="0.35">
      <c r="A25" s="4"/>
      <c r="B25" s="4" t="s">
        <v>254</v>
      </c>
      <c r="C25" s="4"/>
      <c r="D25" s="4"/>
      <c r="E25" s="121">
        <v>0</v>
      </c>
      <c r="F25" s="4"/>
      <c r="G25" s="134">
        <v>0</v>
      </c>
      <c r="H25" s="4"/>
      <c r="I25" s="122">
        <v>0</v>
      </c>
      <c r="J25" s="4"/>
      <c r="K25" s="248">
        <f>IF(E25=0,0,(G25/E25))</f>
        <v>0</v>
      </c>
      <c r="L25" s="123">
        <f>IF(G25=0,0,(I25/G25)*100)</f>
        <v>0</v>
      </c>
      <c r="M25" s="124">
        <f>IF(E25=0,0,(I25/E25))</f>
        <v>0</v>
      </c>
    </row>
    <row r="26" spans="1:20" ht="15.5" x14ac:dyDescent="0.35">
      <c r="A26" s="4"/>
      <c r="B26" s="4" t="s">
        <v>261</v>
      </c>
      <c r="C26" s="4"/>
      <c r="D26" s="4"/>
      <c r="E26" s="121">
        <v>4</v>
      </c>
      <c r="F26" s="4"/>
      <c r="G26" s="134">
        <f>7600</f>
        <v>7600</v>
      </c>
      <c r="H26" s="4"/>
      <c r="I26" s="122">
        <f>G26*0.9</f>
        <v>6840</v>
      </c>
      <c r="J26" s="4"/>
      <c r="K26" s="248">
        <f>IF(E26=0,0,(G26/E26))</f>
        <v>1900</v>
      </c>
      <c r="L26" s="123">
        <f>IF(G26=0,0,(I26/G26)*100)</f>
        <v>90</v>
      </c>
      <c r="M26" s="124">
        <f>IF(E26=0,0,(I26/E26))</f>
        <v>1710</v>
      </c>
    </row>
    <row r="27" spans="1:20" ht="15.5" x14ac:dyDescent="0.35">
      <c r="A27" s="4"/>
      <c r="B27" s="4"/>
      <c r="C27" s="4"/>
      <c r="D27" s="4"/>
      <c r="E27" s="4"/>
      <c r="F27" s="4"/>
      <c r="G27" s="138"/>
      <c r="H27" s="4"/>
      <c r="I27" s="123"/>
      <c r="J27" s="4"/>
      <c r="K27" s="250"/>
      <c r="L27" s="52"/>
      <c r="M27" s="52"/>
    </row>
    <row r="28" spans="1:20" ht="15.5" x14ac:dyDescent="0.35">
      <c r="A28" s="4"/>
      <c r="B28" s="4" t="s">
        <v>255</v>
      </c>
      <c r="C28" s="4"/>
      <c r="D28" s="4"/>
      <c r="E28" s="121">
        <v>0</v>
      </c>
      <c r="F28" s="4"/>
      <c r="G28" s="136"/>
      <c r="H28" s="4"/>
      <c r="I28" s="122">
        <v>0</v>
      </c>
      <c r="J28" s="4"/>
      <c r="K28" s="250"/>
      <c r="L28" s="123"/>
      <c r="M28" s="124">
        <f>IF(E28=0,0,(I28/E28))</f>
        <v>0</v>
      </c>
    </row>
    <row r="29" spans="1:20" ht="15.5" x14ac:dyDescent="0.35">
      <c r="A29" s="4"/>
      <c r="B29" s="4" t="s">
        <v>262</v>
      </c>
      <c r="C29" s="4"/>
      <c r="D29" s="4"/>
      <c r="E29" s="121">
        <v>0</v>
      </c>
      <c r="F29" s="4"/>
      <c r="G29" s="136"/>
      <c r="H29" s="4"/>
      <c r="I29" s="122">
        <v>0</v>
      </c>
      <c r="J29" s="4"/>
      <c r="K29" s="250"/>
      <c r="L29" s="123"/>
      <c r="M29" s="124">
        <f>IF(E29=0,0,(I29/E29))</f>
        <v>0</v>
      </c>
    </row>
    <row r="30" spans="1:20" ht="15.5" x14ac:dyDescent="0.35">
      <c r="A30" s="4"/>
      <c r="B30" s="4"/>
      <c r="C30" s="4"/>
      <c r="D30" s="4"/>
      <c r="E30" s="4"/>
      <c r="F30" s="4"/>
      <c r="G30" s="137"/>
      <c r="H30" s="133"/>
      <c r="I30" s="145"/>
      <c r="J30" s="133"/>
      <c r="K30" s="251"/>
      <c r="L30" s="52"/>
      <c r="M30" s="52"/>
    </row>
    <row r="31" spans="1:20" ht="15.5" x14ac:dyDescent="0.35">
      <c r="A31" s="4"/>
      <c r="B31" s="9" t="s">
        <v>256</v>
      </c>
      <c r="C31" s="4"/>
      <c r="D31" s="4"/>
      <c r="E31" s="128">
        <f>SUM(E25:E29)</f>
        <v>4</v>
      </c>
      <c r="F31" s="4"/>
      <c r="G31" s="139"/>
      <c r="H31" s="133"/>
      <c r="I31" s="146">
        <f>SUM(I25:I29)</f>
        <v>6840</v>
      </c>
      <c r="J31" s="133"/>
      <c r="K31" s="252"/>
      <c r="L31" s="130"/>
      <c r="M31" s="131">
        <f>IF(E31=0,0,(I31/E31))</f>
        <v>1710</v>
      </c>
    </row>
    <row r="32" spans="1:20" ht="15.5" x14ac:dyDescent="0.35">
      <c r="A32" s="4"/>
      <c r="B32" s="9"/>
      <c r="C32" s="4"/>
      <c r="D32" s="4"/>
      <c r="E32" s="4"/>
      <c r="F32" s="4"/>
      <c r="G32" s="139"/>
      <c r="H32" s="133"/>
      <c r="I32" s="139"/>
      <c r="J32" s="133"/>
      <c r="K32" s="252"/>
      <c r="L32" s="130"/>
      <c r="M32" s="131"/>
    </row>
    <row r="33" spans="2:13" ht="15.5" x14ac:dyDescent="0.35">
      <c r="B33" s="9" t="s">
        <v>257</v>
      </c>
      <c r="C33" s="4"/>
      <c r="D33" s="4"/>
      <c r="E33" s="9">
        <f>(E22+E31)</f>
        <v>53</v>
      </c>
      <c r="F33" s="4"/>
      <c r="G33" s="140"/>
      <c r="H33" s="133"/>
      <c r="I33" s="147">
        <f>(I22+I31)</f>
        <v>40104</v>
      </c>
      <c r="J33" s="133"/>
      <c r="K33" s="252"/>
      <c r="L33" s="130"/>
      <c r="M33" s="131"/>
    </row>
    <row r="34" spans="2:13" ht="15.5" x14ac:dyDescent="0.35">
      <c r="B34" s="4"/>
      <c r="C34" s="4"/>
      <c r="D34" s="4"/>
      <c r="E34" s="4"/>
      <c r="F34" s="4"/>
      <c r="G34" s="138"/>
      <c r="H34" s="4"/>
      <c r="I34" s="4"/>
      <c r="J34" s="4"/>
      <c r="K34" s="250"/>
      <c r="L34" s="4"/>
      <c r="M34" s="4"/>
    </row>
    <row r="35" spans="2:13" x14ac:dyDescent="0.25">
      <c r="G35" s="132"/>
    </row>
    <row r="36" spans="2:13" ht="18" x14ac:dyDescent="0.4">
      <c r="B36" s="236" t="s">
        <v>268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</row>
    <row r="37" spans="2:13" ht="18" x14ac:dyDescent="0.4">
      <c r="B37" s="119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2:13" ht="17.5" x14ac:dyDescent="0.35">
      <c r="B38" s="9" t="s">
        <v>263</v>
      </c>
      <c r="C38" s="18"/>
      <c r="F38" s="16"/>
      <c r="H38" s="16"/>
      <c r="I38" s="151">
        <f>I3</f>
        <v>2017</v>
      </c>
      <c r="J38" s="142"/>
      <c r="K38" s="142"/>
      <c r="L38" s="142"/>
      <c r="M38" s="142"/>
    </row>
    <row r="39" spans="2:13" ht="15.5" x14ac:dyDescent="0.35">
      <c r="G39" s="149" t="s">
        <v>267</v>
      </c>
    </row>
    <row r="40" spans="2:13" ht="15.5" x14ac:dyDescent="0.35">
      <c r="B40" s="9" t="s">
        <v>264</v>
      </c>
      <c r="G40" s="132"/>
    </row>
    <row r="41" spans="2:13" ht="15.5" x14ac:dyDescent="0.35">
      <c r="B41" s="9" t="s">
        <v>265</v>
      </c>
      <c r="G41" s="134">
        <v>0</v>
      </c>
    </row>
    <row r="42" spans="2:13" ht="15.5" x14ac:dyDescent="0.35">
      <c r="B42" s="9" t="s">
        <v>266</v>
      </c>
      <c r="G42" s="134">
        <v>4</v>
      </c>
    </row>
    <row r="43" spans="2:13" ht="15.5" x14ac:dyDescent="0.35">
      <c r="B43" s="9" t="s">
        <v>269</v>
      </c>
      <c r="G43" s="150">
        <f>G41+G42</f>
        <v>4</v>
      </c>
    </row>
    <row r="44" spans="2:13" x14ac:dyDescent="0.25">
      <c r="G44" s="132"/>
    </row>
    <row r="45" spans="2:13" ht="15.5" x14ac:dyDescent="0.35">
      <c r="B45" s="9" t="s">
        <v>270</v>
      </c>
      <c r="G45" s="132"/>
    </row>
    <row r="46" spans="2:13" ht="15.5" x14ac:dyDescent="0.35">
      <c r="B46" s="9" t="s">
        <v>265</v>
      </c>
      <c r="G46" s="134">
        <v>0</v>
      </c>
    </row>
    <row r="47" spans="2:13" ht="15.5" x14ac:dyDescent="0.35">
      <c r="B47" s="9" t="s">
        <v>266</v>
      </c>
      <c r="G47" s="134">
        <v>0</v>
      </c>
    </row>
    <row r="48" spans="2:13" ht="15.5" x14ac:dyDescent="0.35">
      <c r="B48" s="9" t="s">
        <v>269</v>
      </c>
      <c r="G48" s="150">
        <f>G46+G47</f>
        <v>0</v>
      </c>
    </row>
    <row r="49" spans="7:7" x14ac:dyDescent="0.25">
      <c r="G49" s="132"/>
    </row>
    <row r="50" spans="7:7" x14ac:dyDescent="0.25">
      <c r="G50" s="132"/>
    </row>
  </sheetData>
  <sheetProtection sheet="1" objects="1" scenarios="1"/>
  <mergeCells count="2">
    <mergeCell ref="B1:M1"/>
    <mergeCell ref="B36:M36"/>
  </mergeCells>
  <phoneticPr fontId="6" type="noConversion"/>
  <pageMargins left="1" right="0.5" top="1" bottom="1" header="0.5" footer="0.5"/>
  <pageSetup scale="76"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opLeftCell="A13" workbookViewId="0">
      <selection activeCell="E39" sqref="E39"/>
    </sheetView>
  </sheetViews>
  <sheetFormatPr defaultRowHeight="12.5" x14ac:dyDescent="0.25"/>
  <cols>
    <col min="2" max="2" width="39.453125" customWidth="1"/>
    <col min="5" max="5" width="13.54296875" bestFit="1" customWidth="1"/>
    <col min="6" max="6" width="11.54296875" customWidth="1"/>
    <col min="7" max="7" width="6.54296875" customWidth="1"/>
    <col min="8" max="8" width="11.7265625" customWidth="1"/>
    <col min="9" max="9" width="10" customWidth="1"/>
  </cols>
  <sheetData>
    <row r="1" spans="1:11" ht="15.5" x14ac:dyDescent="0.35">
      <c r="A1" s="155"/>
      <c r="B1" s="240" t="s">
        <v>272</v>
      </c>
      <c r="C1" s="240"/>
      <c r="D1" s="240"/>
      <c r="E1" s="240"/>
      <c r="F1" s="240"/>
      <c r="G1" s="16"/>
      <c r="H1" s="16"/>
    </row>
    <row r="2" spans="1:11" x14ac:dyDescent="0.25">
      <c r="A2" s="156"/>
      <c r="B2" s="156"/>
      <c r="C2" s="156"/>
      <c r="D2" s="156"/>
      <c r="E2" s="156"/>
      <c r="F2" s="156"/>
      <c r="G2" s="156"/>
      <c r="H2" s="156"/>
    </row>
    <row r="3" spans="1:11" ht="15.5" x14ac:dyDescent="0.35">
      <c r="A3" s="157"/>
      <c r="B3" s="158" t="s">
        <v>273</v>
      </c>
      <c r="C3" s="241" t="str">
        <f>'1. SPA Reproduction Data '!C3:F3</f>
        <v xml:space="preserve">Example </v>
      </c>
      <c r="D3" s="242"/>
      <c r="E3" s="243"/>
      <c r="F3" s="243"/>
      <c r="G3" s="159"/>
      <c r="H3" s="160" t="s">
        <v>194</v>
      </c>
      <c r="I3" s="161">
        <f>'1. SPA Reproduction Data '!D6</f>
        <v>2017</v>
      </c>
    </row>
    <row r="4" spans="1:11" ht="15.5" x14ac:dyDescent="0.35">
      <c r="A4" s="156"/>
      <c r="B4" s="162"/>
      <c r="C4" s="162"/>
      <c r="D4" s="162"/>
      <c r="E4" s="162"/>
      <c r="G4" s="162"/>
      <c r="H4" s="162"/>
      <c r="I4" s="162"/>
      <c r="J4" s="162"/>
    </row>
    <row r="5" spans="1:11" ht="15.5" x14ac:dyDescent="0.35">
      <c r="A5" s="156"/>
      <c r="B5" s="163" t="s">
        <v>274</v>
      </c>
      <c r="C5" s="162"/>
      <c r="D5" s="164"/>
      <c r="E5" s="165"/>
      <c r="F5" s="164"/>
      <c r="G5" s="164"/>
      <c r="H5" s="163" t="s">
        <v>275</v>
      </c>
      <c r="I5" s="165"/>
      <c r="J5" s="164"/>
    </row>
    <row r="6" spans="1:11" ht="15.5" x14ac:dyDescent="0.35">
      <c r="A6" s="157"/>
      <c r="B6" s="162"/>
      <c r="C6" s="162"/>
      <c r="D6" s="164"/>
      <c r="E6" s="244" t="s">
        <v>276</v>
      </c>
      <c r="F6" s="244"/>
      <c r="G6" s="164"/>
      <c r="H6" s="164"/>
      <c r="I6" s="164" t="s">
        <v>276</v>
      </c>
      <c r="J6" s="164"/>
    </row>
    <row r="7" spans="1:11" ht="16" thickBot="1" x14ac:dyDescent="0.4">
      <c r="A7" s="157"/>
      <c r="B7" s="166" t="s">
        <v>277</v>
      </c>
      <c r="C7" s="166"/>
      <c r="D7" s="167" t="s">
        <v>278</v>
      </c>
      <c r="E7" s="164" t="s">
        <v>7</v>
      </c>
      <c r="F7" s="168" t="s">
        <v>279</v>
      </c>
      <c r="G7" s="164"/>
      <c r="H7" s="167" t="s">
        <v>278</v>
      </c>
      <c r="I7" s="164" t="s">
        <v>7</v>
      </c>
      <c r="J7" s="168" t="s">
        <v>279</v>
      </c>
    </row>
    <row r="8" spans="1:11" ht="15.5" x14ac:dyDescent="0.35">
      <c r="A8" s="157"/>
      <c r="B8" s="162" t="s">
        <v>280</v>
      </c>
      <c r="C8" s="162"/>
      <c r="D8" s="169">
        <v>0</v>
      </c>
      <c r="E8" s="170">
        <v>100</v>
      </c>
      <c r="F8" s="171">
        <f t="shared" ref="F8:F13" si="0">D8*E8*0.01</f>
        <v>0</v>
      </c>
      <c r="G8" s="164"/>
      <c r="H8" s="169">
        <v>0</v>
      </c>
      <c r="I8" s="170">
        <v>100</v>
      </c>
      <c r="J8" s="171">
        <f t="shared" ref="J8:J13" si="1">H8*I8*0.01</f>
        <v>0</v>
      </c>
    </row>
    <row r="9" spans="1:11" ht="15.5" x14ac:dyDescent="0.35">
      <c r="A9" s="157"/>
      <c r="B9" s="162" t="s">
        <v>281</v>
      </c>
      <c r="C9" s="162"/>
      <c r="D9" s="170">
        <v>2750</v>
      </c>
      <c r="E9" s="170">
        <v>100</v>
      </c>
      <c r="F9" s="171">
        <f t="shared" si="0"/>
        <v>2750</v>
      </c>
      <c r="G9" s="164"/>
      <c r="H9" s="170">
        <v>0</v>
      </c>
      <c r="I9" s="170">
        <v>100</v>
      </c>
      <c r="J9" s="171">
        <f t="shared" si="1"/>
        <v>0</v>
      </c>
    </row>
    <row r="10" spans="1:11" ht="15.5" x14ac:dyDescent="0.35">
      <c r="A10" s="157"/>
      <c r="B10" s="162" t="s">
        <v>282</v>
      </c>
      <c r="C10" s="162"/>
      <c r="D10" s="170">
        <v>0</v>
      </c>
      <c r="E10" s="170">
        <v>100</v>
      </c>
      <c r="F10" s="171">
        <f t="shared" si="0"/>
        <v>0</v>
      </c>
      <c r="G10" s="164"/>
      <c r="H10" s="170">
        <v>0</v>
      </c>
      <c r="I10" s="170">
        <v>100</v>
      </c>
      <c r="J10" s="171">
        <f t="shared" si="1"/>
        <v>0</v>
      </c>
    </row>
    <row r="11" spans="1:11" ht="15.5" x14ac:dyDescent="0.35">
      <c r="A11" s="157"/>
      <c r="B11" s="162" t="s">
        <v>283</v>
      </c>
      <c r="C11" s="162"/>
      <c r="D11" s="170">
        <v>0</v>
      </c>
      <c r="E11" s="170">
        <v>100</v>
      </c>
      <c r="F11" s="171">
        <f t="shared" si="0"/>
        <v>0</v>
      </c>
      <c r="G11" s="164"/>
      <c r="H11" s="170">
        <v>0</v>
      </c>
      <c r="I11" s="170">
        <v>100</v>
      </c>
      <c r="J11" s="171">
        <f t="shared" si="1"/>
        <v>0</v>
      </c>
    </row>
    <row r="12" spans="1:11" ht="15.5" x14ac:dyDescent="0.35">
      <c r="A12" s="157"/>
      <c r="B12" s="162" t="s">
        <v>284</v>
      </c>
      <c r="C12" s="162"/>
      <c r="D12" s="170">
        <v>0</v>
      </c>
      <c r="E12" s="170">
        <v>100</v>
      </c>
      <c r="F12" s="171">
        <f t="shared" si="0"/>
        <v>0</v>
      </c>
      <c r="G12" s="164"/>
      <c r="H12" s="170">
        <v>0</v>
      </c>
      <c r="I12" s="170">
        <v>100</v>
      </c>
      <c r="J12" s="171">
        <f t="shared" si="1"/>
        <v>0</v>
      </c>
    </row>
    <row r="13" spans="1:11" ht="15.5" x14ac:dyDescent="0.35">
      <c r="A13" s="157"/>
      <c r="B13" s="162" t="s">
        <v>285</v>
      </c>
      <c r="C13" s="162"/>
      <c r="D13" s="170">
        <v>50</v>
      </c>
      <c r="E13" s="170">
        <v>100</v>
      </c>
      <c r="F13" s="171">
        <f t="shared" si="0"/>
        <v>50</v>
      </c>
      <c r="G13" s="164"/>
      <c r="H13" s="170">
        <v>0</v>
      </c>
      <c r="I13" s="170">
        <v>100</v>
      </c>
      <c r="J13" s="171">
        <f t="shared" si="1"/>
        <v>0</v>
      </c>
    </row>
    <row r="14" spans="1:11" ht="15.5" x14ac:dyDescent="0.35">
      <c r="A14" s="157"/>
      <c r="B14" s="162" t="s">
        <v>286</v>
      </c>
      <c r="C14" s="162"/>
      <c r="D14" s="172">
        <f>SUM(D8:D13)</f>
        <v>2800</v>
      </c>
      <c r="E14" s="173"/>
      <c r="F14" s="172">
        <f>SUM(F8:F13)</f>
        <v>2800</v>
      </c>
      <c r="G14" s="164"/>
      <c r="H14" s="172">
        <f>SUM(H8:H13)</f>
        <v>0</v>
      </c>
      <c r="I14" s="173"/>
      <c r="J14" s="172">
        <f>SUM(J8:J13)</f>
        <v>0</v>
      </c>
    </row>
    <row r="15" spans="1:11" ht="15.5" x14ac:dyDescent="0.35">
      <c r="A15" s="157"/>
      <c r="B15" s="162"/>
      <c r="C15" s="162"/>
      <c r="D15" s="174"/>
      <c r="E15" s="173"/>
      <c r="F15" s="174"/>
      <c r="G15" s="173"/>
      <c r="H15" s="162"/>
      <c r="I15" s="174"/>
      <c r="J15" s="173"/>
      <c r="K15" s="174"/>
    </row>
    <row r="16" spans="1:11" ht="15.5" x14ac:dyDescent="0.35">
      <c r="A16" s="156"/>
      <c r="B16" s="186" t="s">
        <v>328</v>
      </c>
      <c r="C16" s="196">
        <f>D14+J14</f>
        <v>2800</v>
      </c>
      <c r="D16" s="175"/>
      <c r="E16" s="175"/>
      <c r="F16" s="175"/>
      <c r="G16" s="162"/>
      <c r="H16" s="175"/>
      <c r="I16" s="175"/>
      <c r="J16" s="175"/>
      <c r="K16" s="175"/>
    </row>
    <row r="17" spans="1:11" ht="15.5" x14ac:dyDescent="0.35">
      <c r="A17" s="156"/>
      <c r="B17" s="175"/>
      <c r="C17" s="175"/>
      <c r="D17" s="175"/>
      <c r="E17" s="175"/>
      <c r="F17" s="175"/>
      <c r="G17" s="162"/>
      <c r="H17" s="175"/>
      <c r="I17" s="175"/>
      <c r="J17" s="175"/>
      <c r="K17" s="175"/>
    </row>
    <row r="18" spans="1:11" ht="15.5" x14ac:dyDescent="0.35">
      <c r="A18" s="157"/>
      <c r="B18" s="163" t="s">
        <v>287</v>
      </c>
      <c r="C18" s="162"/>
      <c r="D18" s="164"/>
      <c r="E18" s="165"/>
      <c r="F18" s="164"/>
      <c r="G18" s="164"/>
      <c r="H18" s="163" t="s">
        <v>288</v>
      </c>
      <c r="I18" s="164"/>
      <c r="J18" s="165"/>
      <c r="K18" s="164"/>
    </row>
    <row r="19" spans="1:11" ht="15.5" x14ac:dyDescent="0.35">
      <c r="A19" s="157"/>
      <c r="B19" s="162"/>
      <c r="C19" s="162"/>
      <c r="D19" s="164"/>
      <c r="E19" s="244" t="s">
        <v>289</v>
      </c>
      <c r="F19" s="244"/>
      <c r="G19" s="165"/>
      <c r="H19" s="164"/>
      <c r="I19" s="164" t="s">
        <v>289</v>
      </c>
      <c r="J19" s="164"/>
    </row>
    <row r="20" spans="1:11" ht="16" thickBot="1" x14ac:dyDescent="0.4">
      <c r="A20" s="157"/>
      <c r="B20" s="166" t="s">
        <v>290</v>
      </c>
      <c r="C20" s="166"/>
      <c r="D20" s="167" t="s">
        <v>278</v>
      </c>
      <c r="E20" s="164" t="s">
        <v>7</v>
      </c>
      <c r="F20" s="164" t="s">
        <v>279</v>
      </c>
      <c r="G20" s="165"/>
      <c r="H20" s="167" t="s">
        <v>278</v>
      </c>
      <c r="I20" s="164" t="s">
        <v>7</v>
      </c>
      <c r="J20" s="164" t="s">
        <v>279</v>
      </c>
    </row>
    <row r="21" spans="1:11" ht="15.5" x14ac:dyDescent="0.35">
      <c r="A21" s="157"/>
      <c r="B21" s="162" t="s">
        <v>280</v>
      </c>
      <c r="C21" s="162"/>
      <c r="D21" s="169">
        <v>0</v>
      </c>
      <c r="E21" s="170">
        <v>100</v>
      </c>
      <c r="F21" s="171">
        <f>D21*E21*0.01</f>
        <v>0</v>
      </c>
      <c r="G21" s="165"/>
      <c r="H21" s="169">
        <v>0</v>
      </c>
      <c r="I21" s="170">
        <v>100</v>
      </c>
      <c r="J21" s="171">
        <f>H21*I21*0.01</f>
        <v>0</v>
      </c>
    </row>
    <row r="22" spans="1:11" ht="15.5" x14ac:dyDescent="0.35">
      <c r="A22" s="157"/>
      <c r="B22" s="162" t="s">
        <v>281</v>
      </c>
      <c r="C22" s="162"/>
      <c r="D22" s="170">
        <v>0</v>
      </c>
      <c r="E22" s="170">
        <v>100</v>
      </c>
      <c r="F22" s="171">
        <f>D22*E22*0.01</f>
        <v>0</v>
      </c>
      <c r="G22" s="165"/>
      <c r="H22" s="170">
        <v>0</v>
      </c>
      <c r="I22" s="170">
        <v>100</v>
      </c>
      <c r="J22" s="171">
        <f>H22*I22*0.01</f>
        <v>0</v>
      </c>
    </row>
    <row r="23" spans="1:11" ht="15.5" x14ac:dyDescent="0.35">
      <c r="A23" s="157"/>
      <c r="B23" s="162" t="s">
        <v>282</v>
      </c>
      <c r="C23" s="162"/>
      <c r="D23" s="170">
        <v>200</v>
      </c>
      <c r="E23" s="170">
        <v>100</v>
      </c>
      <c r="F23" s="171">
        <f>D23*E23*0.01</f>
        <v>200</v>
      </c>
      <c r="G23" s="165"/>
      <c r="H23" s="170">
        <v>0</v>
      </c>
      <c r="I23" s="170">
        <v>100</v>
      </c>
      <c r="J23" s="171">
        <f>H23*I23*0.01</f>
        <v>0</v>
      </c>
    </row>
    <row r="24" spans="1:11" ht="15.5" x14ac:dyDescent="0.35">
      <c r="A24" s="157"/>
      <c r="B24" s="162" t="s">
        <v>283</v>
      </c>
      <c r="C24" s="162"/>
      <c r="D24" s="170">
        <v>0</v>
      </c>
      <c r="E24" s="170">
        <v>100</v>
      </c>
      <c r="F24" s="171">
        <f>D24*E24*0.01</f>
        <v>0</v>
      </c>
      <c r="G24" s="165"/>
      <c r="H24" s="170">
        <v>0</v>
      </c>
      <c r="I24" s="170">
        <v>100</v>
      </c>
      <c r="J24" s="171">
        <f>H24*I24*0.01</f>
        <v>0</v>
      </c>
    </row>
    <row r="25" spans="1:11" ht="15.5" x14ac:dyDescent="0.35">
      <c r="A25" s="157"/>
      <c r="B25" s="162" t="s">
        <v>291</v>
      </c>
      <c r="C25" s="162"/>
      <c r="D25" s="170">
        <v>0</v>
      </c>
      <c r="E25" s="170">
        <v>100</v>
      </c>
      <c r="F25" s="171">
        <f>D25*E25*0.01</f>
        <v>0</v>
      </c>
      <c r="G25" s="165"/>
      <c r="H25" s="170">
        <v>0</v>
      </c>
      <c r="I25" s="170">
        <v>100</v>
      </c>
      <c r="J25" s="171">
        <f>H25*I25*0.01</f>
        <v>0</v>
      </c>
    </row>
    <row r="26" spans="1:11" ht="15.5" x14ac:dyDescent="0.35">
      <c r="A26" s="157"/>
      <c r="B26" s="162" t="s">
        <v>292</v>
      </c>
      <c r="C26" s="162"/>
      <c r="D26" s="172">
        <f>SUM(D21:D25)</f>
        <v>200</v>
      </c>
      <c r="E26" s="173"/>
      <c r="F26" s="172">
        <f>SUM(F21:F25)</f>
        <v>200</v>
      </c>
      <c r="G26" s="156"/>
      <c r="H26" s="172">
        <f>SUM(H21:H25)</f>
        <v>0</v>
      </c>
      <c r="I26" s="173"/>
      <c r="J26" s="172">
        <f>SUM(J21:J25)</f>
        <v>0</v>
      </c>
    </row>
    <row r="27" spans="1:11" ht="15.5" x14ac:dyDescent="0.35">
      <c r="A27" s="157"/>
      <c r="B27" s="162"/>
      <c r="C27" s="162"/>
      <c r="D27" s="174"/>
      <c r="E27" s="173"/>
      <c r="F27" s="174"/>
      <c r="G27" s="156"/>
      <c r="H27" s="174"/>
      <c r="I27" s="173"/>
      <c r="J27" s="174"/>
    </row>
    <row r="28" spans="1:11" ht="15.5" x14ac:dyDescent="0.35">
      <c r="A28" s="157"/>
      <c r="B28" s="186" t="s">
        <v>329</v>
      </c>
      <c r="C28" s="197">
        <f>F26+J26</f>
        <v>200</v>
      </c>
      <c r="D28" s="174"/>
      <c r="E28" s="173"/>
      <c r="F28" s="174"/>
      <c r="G28" s="156"/>
      <c r="H28" s="174"/>
      <c r="I28" s="173"/>
      <c r="J28" s="174"/>
    </row>
    <row r="29" spans="1:11" ht="15.5" x14ac:dyDescent="0.35">
      <c r="A29" s="157"/>
      <c r="B29" s="162"/>
      <c r="C29" s="162"/>
      <c r="D29" s="175"/>
      <c r="E29" s="173"/>
      <c r="F29" s="175"/>
      <c r="G29" s="176"/>
      <c r="H29" s="162"/>
      <c r="I29" s="175"/>
      <c r="J29" s="173"/>
      <c r="K29" s="175"/>
    </row>
    <row r="30" spans="1:11" ht="15.5" x14ac:dyDescent="0.35">
      <c r="A30" s="156"/>
      <c r="B30" s="163" t="s">
        <v>293</v>
      </c>
      <c r="C30" s="163"/>
      <c r="D30" s="177">
        <f>D26+D14</f>
        <v>3000</v>
      </c>
      <c r="E30" s="163"/>
      <c r="F30" s="177">
        <f>F26+F14</f>
        <v>3000</v>
      </c>
      <c r="G30" s="178"/>
      <c r="H30" s="177">
        <f>H26+H14</f>
        <v>0</v>
      </c>
      <c r="I30" s="163"/>
      <c r="J30" s="177">
        <f>J26+J14</f>
        <v>0</v>
      </c>
    </row>
    <row r="31" spans="1:11" ht="15.5" x14ac:dyDescent="0.35">
      <c r="A31" s="156"/>
      <c r="B31" s="163"/>
      <c r="C31" s="163"/>
      <c r="D31" s="177"/>
      <c r="E31" s="163"/>
      <c r="F31" s="177"/>
      <c r="G31" s="178"/>
      <c r="H31" s="177"/>
      <c r="I31" s="163"/>
      <c r="J31" s="177"/>
    </row>
    <row r="32" spans="1:11" ht="15.5" x14ac:dyDescent="0.35">
      <c r="A32" s="156"/>
      <c r="B32" s="163" t="s">
        <v>294</v>
      </c>
      <c r="C32" s="163"/>
      <c r="D32" s="177"/>
      <c r="E32" s="163"/>
      <c r="F32" s="177"/>
      <c r="G32" s="178"/>
      <c r="H32" s="177"/>
      <c r="I32" s="163"/>
      <c r="J32" s="177">
        <f>J30+F30</f>
        <v>3000</v>
      </c>
    </row>
    <row r="33" spans="1:11" ht="15.5" x14ac:dyDescent="0.35">
      <c r="A33" s="156"/>
      <c r="B33" s="175"/>
      <c r="C33" s="175"/>
      <c r="D33" s="175"/>
      <c r="E33" s="175"/>
      <c r="F33" s="175"/>
      <c r="G33" s="175"/>
      <c r="H33" s="175"/>
      <c r="I33" s="175"/>
      <c r="J33" s="175"/>
      <c r="K33" s="175"/>
    </row>
    <row r="34" spans="1:11" ht="15.5" x14ac:dyDescent="0.35">
      <c r="A34" s="156"/>
      <c r="B34" s="163" t="s">
        <v>295</v>
      </c>
      <c r="C34" s="175"/>
      <c r="D34" s="175"/>
      <c r="E34" s="175"/>
      <c r="F34" s="175"/>
      <c r="G34" s="175"/>
      <c r="H34" s="175"/>
      <c r="I34" s="175"/>
      <c r="J34" s="175"/>
      <c r="K34" s="175"/>
    </row>
    <row r="35" spans="1:11" ht="15.5" x14ac:dyDescent="0.35">
      <c r="A35" s="156"/>
      <c r="B35" s="175"/>
      <c r="C35" s="175"/>
      <c r="D35" s="175" t="s">
        <v>296</v>
      </c>
      <c r="E35" s="175" t="s">
        <v>297</v>
      </c>
      <c r="F35" s="175" t="s">
        <v>31</v>
      </c>
      <c r="H35" s="175"/>
      <c r="I35" s="175" t="s">
        <v>296</v>
      </c>
      <c r="J35" s="175" t="s">
        <v>297</v>
      </c>
      <c r="K35" s="175" t="s">
        <v>31</v>
      </c>
    </row>
    <row r="36" spans="1:11" ht="15.5" x14ac:dyDescent="0.35">
      <c r="A36" s="156"/>
      <c r="B36" s="175" t="s">
        <v>298</v>
      </c>
      <c r="C36" s="175"/>
      <c r="D36" s="175" t="s">
        <v>299</v>
      </c>
      <c r="E36" s="175" t="s">
        <v>300</v>
      </c>
      <c r="F36" s="175" t="s">
        <v>297</v>
      </c>
      <c r="H36" s="175"/>
      <c r="I36" s="175" t="s">
        <v>299</v>
      </c>
      <c r="J36" s="175" t="s">
        <v>300</v>
      </c>
      <c r="K36" s="175" t="s">
        <v>297</v>
      </c>
    </row>
    <row r="37" spans="1:11" ht="15.5" x14ac:dyDescent="0.35">
      <c r="A37" s="156"/>
      <c r="B37" s="175"/>
      <c r="C37" s="175" t="s">
        <v>301</v>
      </c>
      <c r="D37" s="175"/>
      <c r="E37" s="175" t="s">
        <v>302</v>
      </c>
      <c r="F37" s="175" t="s">
        <v>300</v>
      </c>
      <c r="H37" s="175" t="s">
        <v>301</v>
      </c>
      <c r="I37" s="175"/>
      <c r="J37" s="175" t="s">
        <v>302</v>
      </c>
      <c r="K37" s="175" t="s">
        <v>300</v>
      </c>
    </row>
    <row r="38" spans="1:11" ht="15.5" x14ac:dyDescent="0.35">
      <c r="A38" s="156"/>
      <c r="B38" s="179" t="s">
        <v>303</v>
      </c>
      <c r="C38" s="179" t="s">
        <v>304</v>
      </c>
      <c r="D38" s="170">
        <v>600</v>
      </c>
      <c r="E38" s="195">
        <v>65</v>
      </c>
      <c r="F38" s="181">
        <f>D38*E38</f>
        <v>39000</v>
      </c>
      <c r="H38" s="179"/>
      <c r="I38" s="170"/>
      <c r="J38" s="180">
        <v>0</v>
      </c>
      <c r="K38" s="181">
        <f>I38*J38</f>
        <v>0</v>
      </c>
    </row>
    <row r="39" spans="1:11" ht="15.5" x14ac:dyDescent="0.35">
      <c r="A39" s="156"/>
      <c r="B39" s="179"/>
      <c r="C39" s="179"/>
      <c r="D39" s="170"/>
      <c r="E39" s="180">
        <v>0</v>
      </c>
      <c r="F39" s="181">
        <f>D39*E39</f>
        <v>0</v>
      </c>
      <c r="H39" s="179"/>
      <c r="I39" s="170"/>
      <c r="J39" s="180">
        <v>0</v>
      </c>
      <c r="K39" s="181">
        <f>I39*J39</f>
        <v>0</v>
      </c>
    </row>
    <row r="40" spans="1:11" ht="15.5" x14ac:dyDescent="0.35">
      <c r="A40" s="156"/>
      <c r="B40" s="179"/>
      <c r="C40" s="179"/>
      <c r="D40" s="170"/>
      <c r="E40" s="180">
        <v>0</v>
      </c>
      <c r="F40" s="181">
        <f>D40*E40</f>
        <v>0</v>
      </c>
      <c r="H40" s="179"/>
      <c r="I40" s="170"/>
      <c r="J40" s="180">
        <v>0</v>
      </c>
      <c r="K40" s="181">
        <f>I40*J40</f>
        <v>0</v>
      </c>
    </row>
    <row r="41" spans="1:11" ht="15.5" x14ac:dyDescent="0.35">
      <c r="A41" s="156"/>
      <c r="B41" s="182"/>
      <c r="C41" s="182"/>
      <c r="D41" s="183"/>
      <c r="E41" s="184"/>
      <c r="F41" s="185">
        <f>SUM(F38:F40)</f>
        <v>39000</v>
      </c>
      <c r="H41" s="182"/>
      <c r="I41" s="183"/>
      <c r="J41" s="184"/>
      <c r="K41" s="185">
        <f>SUM(K38:K40)</f>
        <v>0</v>
      </c>
    </row>
    <row r="42" spans="1:11" ht="15.5" x14ac:dyDescent="0.35">
      <c r="A42" s="156"/>
      <c r="B42" s="163"/>
      <c r="C42" s="186"/>
      <c r="D42" s="186"/>
      <c r="E42" s="186"/>
    </row>
    <row r="43" spans="1:11" ht="15.5" x14ac:dyDescent="0.35">
      <c r="B43" s="163" t="s">
        <v>305</v>
      </c>
      <c r="C43" s="186" t="s">
        <v>306</v>
      </c>
      <c r="D43" s="186"/>
    </row>
    <row r="44" spans="1:11" ht="15.5" x14ac:dyDescent="0.35">
      <c r="B44" s="9" t="s">
        <v>307</v>
      </c>
      <c r="C44" s="190">
        <f>C16</f>
        <v>2800</v>
      </c>
      <c r="D44" s="52"/>
      <c r="E44" s="52" t="s">
        <v>308</v>
      </c>
      <c r="H44" s="187">
        <f>+C50</f>
        <v>3000</v>
      </c>
      <c r="I44" s="52" t="s">
        <v>309</v>
      </c>
    </row>
    <row r="45" spans="1:11" ht="15.5" x14ac:dyDescent="0.35">
      <c r="B45" s="52" t="s">
        <v>310</v>
      </c>
      <c r="C45" s="187">
        <f>C44-F13-J13</f>
        <v>2750</v>
      </c>
      <c r="D45" s="52"/>
      <c r="E45" s="52" t="s">
        <v>311</v>
      </c>
      <c r="H45" s="99">
        <f>'1. SPA Reproduction Data '!H60</f>
        <v>400</v>
      </c>
      <c r="I45" s="52" t="s">
        <v>309</v>
      </c>
    </row>
    <row r="46" spans="1:11" ht="15.5" x14ac:dyDescent="0.35">
      <c r="B46" s="162" t="s">
        <v>312</v>
      </c>
      <c r="C46" s="188">
        <f>+F13+J13</f>
        <v>50</v>
      </c>
      <c r="D46" s="52"/>
      <c r="E46" s="52" t="s">
        <v>313</v>
      </c>
      <c r="H46" s="99">
        <f>'2. SPA Weaning Data '!H34</f>
        <v>182825</v>
      </c>
      <c r="I46" s="52" t="s">
        <v>314</v>
      </c>
    </row>
    <row r="47" spans="1:11" ht="15.5" x14ac:dyDescent="0.35">
      <c r="B47" s="52"/>
      <c r="C47" s="52"/>
      <c r="D47" s="52"/>
    </row>
    <row r="48" spans="1:11" ht="15.5" x14ac:dyDescent="0.35">
      <c r="B48" s="52" t="s">
        <v>315</v>
      </c>
      <c r="C48" s="187">
        <f>F26+J26</f>
        <v>200</v>
      </c>
      <c r="D48" s="52"/>
      <c r="E48" s="9" t="s">
        <v>316</v>
      </c>
      <c r="I48" s="189">
        <f>IF(H45=0,0,H44/H45)</f>
        <v>7.5</v>
      </c>
    </row>
    <row r="49" spans="2:9" ht="15.5" x14ac:dyDescent="0.35">
      <c r="B49" s="52"/>
      <c r="C49" s="187"/>
      <c r="D49" s="52"/>
      <c r="E49" s="9"/>
      <c r="I49" s="189"/>
    </row>
    <row r="50" spans="2:9" ht="15.5" x14ac:dyDescent="0.35">
      <c r="B50" s="9" t="s">
        <v>317</v>
      </c>
      <c r="C50" s="190">
        <f>SUM(C45:C48)</f>
        <v>3000</v>
      </c>
      <c r="D50" s="52"/>
      <c r="E50" s="9" t="s">
        <v>318</v>
      </c>
      <c r="I50" s="191">
        <f>IF(C50=0,0,H46/C50)</f>
        <v>60.94166666666667</v>
      </c>
    </row>
    <row r="51" spans="2:9" ht="15.5" x14ac:dyDescent="0.35">
      <c r="B51" s="52"/>
      <c r="C51" s="52"/>
      <c r="D51" s="52"/>
    </row>
  </sheetData>
  <sheetProtection sheet="1"/>
  <mergeCells count="4">
    <mergeCell ref="B1:F1"/>
    <mergeCell ref="C3:F3"/>
    <mergeCell ref="E6:F6"/>
    <mergeCell ref="E19:F19"/>
  </mergeCells>
  <printOptions gridLines="1"/>
  <pageMargins left="0.95" right="0.7" top="0.75" bottom="0.75" header="0.3" footer="0.3"/>
  <pageSetup paperSize="0" scale="67" orientation="portrait" r:id="rId1"/>
  <headerFoot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topLeftCell="A13" workbookViewId="0">
      <selection activeCell="E19" sqref="E19"/>
    </sheetView>
  </sheetViews>
  <sheetFormatPr defaultRowHeight="12.5" x14ac:dyDescent="0.25"/>
  <cols>
    <col min="1" max="1" width="3.7265625" customWidth="1"/>
    <col min="2" max="2" width="35.7265625" customWidth="1"/>
    <col min="3" max="3" width="17.7265625" customWidth="1"/>
    <col min="4" max="4" width="14.54296875" customWidth="1"/>
    <col min="5" max="5" width="14.81640625" customWidth="1"/>
    <col min="6" max="6" width="14.1796875" customWidth="1"/>
  </cols>
  <sheetData>
    <row r="1" spans="2:6" ht="20" x14ac:dyDescent="0.4">
      <c r="B1" s="200" t="s">
        <v>330</v>
      </c>
    </row>
    <row r="3" spans="2:6" ht="15.5" x14ac:dyDescent="0.35">
      <c r="B3" s="245" t="s">
        <v>271</v>
      </c>
      <c r="C3" s="246"/>
      <c r="D3" s="201">
        <f>'1. SPA Reproduction Data '!I6</f>
        <v>400</v>
      </c>
      <c r="E3" s="202"/>
      <c r="F3" s="202"/>
    </row>
    <row r="4" spans="2:6" ht="15.5" x14ac:dyDescent="0.35">
      <c r="B4" s="203"/>
      <c r="C4" s="203"/>
      <c r="D4" s="203"/>
      <c r="E4" s="203"/>
      <c r="F4" s="203"/>
    </row>
    <row r="5" spans="2:6" ht="15.5" x14ac:dyDescent="0.35">
      <c r="B5" s="203"/>
      <c r="C5" s="204" t="s">
        <v>331</v>
      </c>
      <c r="D5" s="204" t="s">
        <v>332</v>
      </c>
      <c r="E5" s="204" t="s">
        <v>333</v>
      </c>
      <c r="F5" s="204"/>
    </row>
    <row r="6" spans="2:6" ht="16" thickBot="1" x14ac:dyDescent="0.4">
      <c r="B6" s="203" t="s">
        <v>334</v>
      </c>
      <c r="C6" s="205" t="s">
        <v>335</v>
      </c>
      <c r="D6" s="204" t="s">
        <v>336</v>
      </c>
      <c r="E6" s="205" t="s">
        <v>300</v>
      </c>
      <c r="F6" s="206" t="s">
        <v>337</v>
      </c>
    </row>
    <row r="7" spans="2:6" ht="16.5" thickTop="1" thickBot="1" x14ac:dyDescent="0.4">
      <c r="B7" s="203" t="s">
        <v>338</v>
      </c>
      <c r="C7" s="207">
        <v>400000</v>
      </c>
      <c r="D7" s="227">
        <f>IF(D$3=0,0,C7/$D$3)</f>
        <v>1000</v>
      </c>
      <c r="E7" s="208">
        <f>C7*0.05</f>
        <v>20000</v>
      </c>
      <c r="F7" s="209">
        <f>IF(D$3=0,0,E7/$D$3)</f>
        <v>50</v>
      </c>
    </row>
    <row r="8" spans="2:6" ht="16.5" thickTop="1" thickBot="1" x14ac:dyDescent="0.4">
      <c r="B8" s="203" t="s">
        <v>339</v>
      </c>
      <c r="C8" s="207">
        <v>0</v>
      </c>
      <c r="D8" s="227">
        <f>IF(D$3=0,0,C8/$D$3)</f>
        <v>0</v>
      </c>
      <c r="E8" s="208">
        <v>0</v>
      </c>
      <c r="F8" s="209">
        <f>IF(D$3=0,0,E8/$D$3)</f>
        <v>0</v>
      </c>
    </row>
    <row r="9" spans="2:6" ht="16.5" thickTop="1" thickBot="1" x14ac:dyDescent="0.4">
      <c r="B9" s="203" t="s">
        <v>340</v>
      </c>
      <c r="C9" s="207">
        <v>0</v>
      </c>
      <c r="D9" s="227">
        <f>IF(D$3=0,0,C9/$D$3)</f>
        <v>0</v>
      </c>
      <c r="E9" s="208">
        <v>0</v>
      </c>
      <c r="F9" s="209">
        <f>IF(D$3=0,0,E9/$D$3)</f>
        <v>0</v>
      </c>
    </row>
    <row r="10" spans="2:6" ht="16" thickTop="1" x14ac:dyDescent="0.35">
      <c r="B10" s="203"/>
      <c r="C10" s="203"/>
      <c r="D10" s="228"/>
      <c r="E10" s="203"/>
      <c r="F10" s="203"/>
    </row>
    <row r="11" spans="2:6" ht="15.5" x14ac:dyDescent="0.35">
      <c r="B11" s="210" t="s">
        <v>341</v>
      </c>
      <c r="C11" s="211">
        <f>SUM(C7:C9)</f>
        <v>400000</v>
      </c>
      <c r="D11" s="229"/>
      <c r="E11" s="212">
        <f>SUM(E7:E9)</f>
        <v>20000</v>
      </c>
      <c r="F11" s="213">
        <f>SUM(F7:F9)</f>
        <v>50</v>
      </c>
    </row>
    <row r="12" spans="2:6" ht="15.5" x14ac:dyDescent="0.35">
      <c r="B12" s="203"/>
      <c r="C12" s="203"/>
      <c r="D12" s="228"/>
      <c r="E12" s="203"/>
      <c r="F12" s="203"/>
    </row>
    <row r="13" spans="2:6" ht="15.5" x14ac:dyDescent="0.35">
      <c r="B13" s="203"/>
      <c r="C13" s="204" t="s">
        <v>331</v>
      </c>
      <c r="D13" s="230" t="s">
        <v>332</v>
      </c>
      <c r="E13" s="204" t="s">
        <v>342</v>
      </c>
      <c r="F13" s="204"/>
    </row>
    <row r="14" spans="2:6" ht="16" thickBot="1" x14ac:dyDescent="0.4">
      <c r="B14" s="203" t="s">
        <v>343</v>
      </c>
      <c r="C14" s="204" t="s">
        <v>335</v>
      </c>
      <c r="D14" s="230" t="s">
        <v>336</v>
      </c>
      <c r="E14" s="205" t="s">
        <v>344</v>
      </c>
      <c r="F14" s="206" t="s">
        <v>337</v>
      </c>
    </row>
    <row r="15" spans="2:6" ht="16.5" thickTop="1" thickBot="1" x14ac:dyDescent="0.4">
      <c r="B15" s="203" t="s">
        <v>338</v>
      </c>
      <c r="C15" s="214">
        <v>0</v>
      </c>
      <c r="D15" s="227">
        <f>IF(D$3=0,0,C15/$D$3)</f>
        <v>0</v>
      </c>
      <c r="E15" s="208">
        <v>0</v>
      </c>
      <c r="F15" s="209">
        <f>IF(D$3=0,0,E15/$D$3)</f>
        <v>0</v>
      </c>
    </row>
    <row r="16" spans="2:6" ht="16.5" thickTop="1" thickBot="1" x14ac:dyDescent="0.4">
      <c r="B16" s="203" t="s">
        <v>345</v>
      </c>
      <c r="C16" s="214">
        <v>0</v>
      </c>
      <c r="D16" s="227">
        <v>0</v>
      </c>
      <c r="E16" s="208">
        <f>C16*0.1</f>
        <v>0</v>
      </c>
      <c r="F16" s="209">
        <f>IF(D$3=0,0,E16/$D$3)</f>
        <v>0</v>
      </c>
    </row>
    <row r="17" spans="2:6" ht="16.5" thickTop="1" thickBot="1" x14ac:dyDescent="0.4">
      <c r="B17" s="203" t="s">
        <v>346</v>
      </c>
      <c r="C17" s="214">
        <f>20*D3</f>
        <v>8000</v>
      </c>
      <c r="D17" s="227">
        <f>IF(D$3=0,0,C17/$D$3)</f>
        <v>20</v>
      </c>
      <c r="E17" s="208">
        <f>C17*0.25</f>
        <v>2000</v>
      </c>
      <c r="F17" s="209">
        <f>IF(D$3=0,0,E17/$D$3)</f>
        <v>5</v>
      </c>
    </row>
    <row r="18" spans="2:6" ht="16.5" thickTop="1" thickBot="1" x14ac:dyDescent="0.4">
      <c r="B18" s="203" t="s">
        <v>340</v>
      </c>
      <c r="C18" s="214">
        <f>400*240</f>
        <v>96000</v>
      </c>
      <c r="D18" s="227">
        <f>IF(D$3=0,0,C18/$D$3)</f>
        <v>240</v>
      </c>
      <c r="E18" s="208">
        <f>C18*0.17</f>
        <v>16320.000000000002</v>
      </c>
      <c r="F18" s="209">
        <f>IF(D$3=0,0,E18/$D$3)</f>
        <v>40.800000000000004</v>
      </c>
    </row>
    <row r="19" spans="2:6" ht="16" thickTop="1" x14ac:dyDescent="0.35">
      <c r="B19" s="203"/>
      <c r="C19" s="203"/>
      <c r="D19" s="203"/>
      <c r="E19" s="203"/>
      <c r="F19" s="203"/>
    </row>
    <row r="20" spans="2:6" ht="15.5" x14ac:dyDescent="0.35">
      <c r="B20" s="210" t="s">
        <v>347</v>
      </c>
      <c r="C20" s="211">
        <f>SUM(C15:C18)</f>
        <v>104000</v>
      </c>
      <c r="D20" s="215"/>
      <c r="E20" s="212">
        <f>SUM(E15:E18)</f>
        <v>18320</v>
      </c>
      <c r="F20" s="213">
        <f>IF(D$3=0,0,E20/$D$3)</f>
        <v>45.8</v>
      </c>
    </row>
    <row r="21" spans="2:6" ht="15.5" x14ac:dyDescent="0.35">
      <c r="B21" s="203"/>
      <c r="C21" s="216"/>
      <c r="D21" s="217"/>
      <c r="E21" s="218"/>
      <c r="F21" s="203"/>
    </row>
    <row r="22" spans="2:6" ht="15.5" x14ac:dyDescent="0.35">
      <c r="B22" s="203"/>
      <c r="C22" s="216"/>
      <c r="D22" s="217"/>
      <c r="E22" s="218"/>
      <c r="F22" s="203"/>
    </row>
    <row r="23" spans="2:6" ht="15.5" x14ac:dyDescent="0.35">
      <c r="B23" s="210" t="s">
        <v>348</v>
      </c>
      <c r="C23" s="211">
        <f>C20+C11</f>
        <v>504000</v>
      </c>
      <c r="D23" s="215"/>
      <c r="E23" s="219">
        <f>E20+E11</f>
        <v>38320</v>
      </c>
      <c r="F23" s="220">
        <f>IF(D$3=0,0,E23/$D$3)</f>
        <v>95.8</v>
      </c>
    </row>
    <row r="24" spans="2:6" ht="15.5" x14ac:dyDescent="0.35">
      <c r="B24" s="203"/>
      <c r="C24" s="203"/>
      <c r="D24" s="203"/>
      <c r="E24" s="203"/>
      <c r="F24" s="203"/>
    </row>
    <row r="25" spans="2:6" x14ac:dyDescent="0.25">
      <c r="B25" s="221"/>
      <c r="C25" s="221"/>
      <c r="D25" s="221"/>
      <c r="E25" s="221"/>
      <c r="F25" s="221"/>
    </row>
    <row r="26" spans="2:6" ht="15.5" x14ac:dyDescent="0.35">
      <c r="B26" s="222"/>
      <c r="C26" s="222"/>
      <c r="E26" s="221"/>
      <c r="F26" s="223" t="s">
        <v>349</v>
      </c>
    </row>
    <row r="27" spans="2:6" ht="15.5" x14ac:dyDescent="0.35">
      <c r="B27" s="224" t="s">
        <v>350</v>
      </c>
      <c r="C27" s="222"/>
      <c r="E27" s="221"/>
      <c r="F27" s="226">
        <f>IF(D3=0,0,C23/D3)</f>
        <v>1260</v>
      </c>
    </row>
    <row r="28" spans="2:6" x14ac:dyDescent="0.25">
      <c r="B28" s="221"/>
      <c r="C28" s="221"/>
      <c r="D28" s="221"/>
      <c r="E28" s="221"/>
      <c r="F28" s="221"/>
    </row>
    <row r="29" spans="2:6" x14ac:dyDescent="0.25">
      <c r="B29" t="s">
        <v>351</v>
      </c>
      <c r="C29" s="221"/>
      <c r="D29" s="221"/>
      <c r="E29" s="221"/>
      <c r="F29" s="221"/>
    </row>
    <row r="30" spans="2:6" ht="14" x14ac:dyDescent="0.3">
      <c r="B30" s="225" t="s">
        <v>352</v>
      </c>
    </row>
    <row r="31" spans="2:6" ht="14" x14ac:dyDescent="0.3">
      <c r="B31" s="225" t="s">
        <v>353</v>
      </c>
    </row>
  </sheetData>
  <sheetProtection sheet="1"/>
  <mergeCells count="1">
    <mergeCell ref="B3:C3"/>
  </mergeCells>
  <printOptions gridLines="1"/>
  <pageMargins left="0.7" right="0.7" top="0.75" bottom="0.75" header="0.3" footer="0.3"/>
  <pageSetup paperSize="0" scale="94" orientation="portrait" r:id="rId1"/>
  <headerFoot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0"/>
  <sheetViews>
    <sheetView topLeftCell="A16" workbookViewId="0">
      <selection activeCell="L14" sqref="L14"/>
    </sheetView>
  </sheetViews>
  <sheetFormatPr defaultRowHeight="12.5" x14ac:dyDescent="0.25"/>
  <cols>
    <col min="3" max="3" width="28.453125" customWidth="1"/>
    <col min="7" max="7" width="14.1796875" customWidth="1"/>
    <col min="8" max="8" width="13.54296875" customWidth="1"/>
  </cols>
  <sheetData>
    <row r="2" spans="2:9" ht="18" x14ac:dyDescent="0.4">
      <c r="B2" s="76" t="s">
        <v>153</v>
      </c>
    </row>
    <row r="4" spans="2:9" ht="15.5" x14ac:dyDescent="0.35">
      <c r="B4" s="9" t="s">
        <v>154</v>
      </c>
      <c r="C4" s="4"/>
      <c r="D4" s="4"/>
      <c r="E4" s="9" t="s">
        <v>194</v>
      </c>
      <c r="F4" s="26"/>
      <c r="G4" s="91">
        <f>'2. SPA Weaning Data '!J4</f>
        <v>2017</v>
      </c>
      <c r="H4" s="4"/>
      <c r="I4" s="4"/>
    </row>
    <row r="5" spans="2:9" ht="15.5" x14ac:dyDescent="0.35">
      <c r="B5" s="4"/>
      <c r="C5" s="4"/>
      <c r="D5" s="4"/>
      <c r="E5" s="4"/>
      <c r="F5" s="4"/>
      <c r="G5" s="4"/>
      <c r="H5" s="4"/>
      <c r="I5" s="4"/>
    </row>
    <row r="6" spans="2:9" ht="15.5" x14ac:dyDescent="0.35">
      <c r="B6" s="4"/>
      <c r="C6" s="4" t="s">
        <v>161</v>
      </c>
      <c r="D6" s="4"/>
      <c r="E6" s="4"/>
      <c r="F6" s="4"/>
      <c r="G6" s="198">
        <f>'1. SPA Reproduction Data '!H81</f>
        <v>0.88</v>
      </c>
      <c r="H6" s="4"/>
      <c r="I6" s="4"/>
    </row>
    <row r="7" spans="2:9" ht="15.5" x14ac:dyDescent="0.35">
      <c r="B7" s="4"/>
      <c r="C7" s="4"/>
      <c r="D7" s="4"/>
      <c r="E7" s="4"/>
      <c r="F7" s="4"/>
      <c r="G7" s="198"/>
      <c r="H7" s="4"/>
      <c r="I7" s="4"/>
    </row>
    <row r="8" spans="2:9" ht="15.5" x14ac:dyDescent="0.35">
      <c r="B8" s="4"/>
      <c r="C8" s="4" t="s">
        <v>162</v>
      </c>
      <c r="D8" s="4"/>
      <c r="E8" s="4"/>
      <c r="F8" s="4"/>
      <c r="G8" s="198">
        <f>G6-G10</f>
        <v>1.0000000000000009E-2</v>
      </c>
      <c r="H8" s="4"/>
      <c r="I8" s="4"/>
    </row>
    <row r="9" spans="2:9" ht="15.5" x14ac:dyDescent="0.35">
      <c r="B9" s="4"/>
      <c r="C9" s="4"/>
      <c r="D9" s="4"/>
      <c r="E9" s="4"/>
      <c r="F9" s="4"/>
      <c r="G9" s="198"/>
      <c r="H9" s="4"/>
      <c r="I9" s="4"/>
    </row>
    <row r="10" spans="2:9" ht="15.5" x14ac:dyDescent="0.35">
      <c r="B10" s="4"/>
      <c r="C10" s="4" t="s">
        <v>163</v>
      </c>
      <c r="D10" s="4"/>
      <c r="E10" s="4"/>
      <c r="F10" s="4"/>
      <c r="G10" s="198">
        <f>'1. SPA Reproduction Data '!H127</f>
        <v>0.87</v>
      </c>
      <c r="H10" s="4"/>
      <c r="I10" s="4"/>
    </row>
    <row r="11" spans="2:9" ht="15.5" x14ac:dyDescent="0.35">
      <c r="B11" s="4"/>
      <c r="C11" s="4"/>
      <c r="D11" s="4"/>
      <c r="E11" s="4"/>
      <c r="F11" s="4"/>
      <c r="G11" s="198"/>
      <c r="H11" s="4"/>
      <c r="I11" s="4"/>
    </row>
    <row r="12" spans="2:9" ht="15.5" x14ac:dyDescent="0.35">
      <c r="B12" s="4"/>
      <c r="C12" s="4" t="s">
        <v>164</v>
      </c>
      <c r="D12" s="4"/>
      <c r="E12" s="4"/>
      <c r="F12" s="4"/>
      <c r="G12" s="58">
        <f>'1. SPA Reproduction Data '!L133</f>
        <v>0.02</v>
      </c>
      <c r="H12" s="4"/>
      <c r="I12" s="4"/>
    </row>
    <row r="13" spans="2:9" ht="15.5" x14ac:dyDescent="0.35">
      <c r="B13" s="4"/>
      <c r="C13" s="4"/>
      <c r="D13" s="4"/>
      <c r="E13" s="4"/>
      <c r="F13" s="4"/>
      <c r="G13" s="198"/>
      <c r="H13" s="4"/>
      <c r="I13" s="4"/>
    </row>
    <row r="14" spans="2:9" ht="15.5" x14ac:dyDescent="0.35">
      <c r="B14" s="4"/>
      <c r="C14" s="4" t="s">
        <v>165</v>
      </c>
      <c r="D14" s="4"/>
      <c r="E14" s="4"/>
      <c r="F14" s="4"/>
      <c r="G14" s="198">
        <f>'2. SPA Weaning Data '!I46</f>
        <v>0.85</v>
      </c>
      <c r="H14" s="4"/>
      <c r="I14" s="4"/>
    </row>
    <row r="15" spans="2:9" ht="15.5" x14ac:dyDescent="0.35">
      <c r="B15" s="4"/>
      <c r="C15" s="4"/>
      <c r="D15" s="4"/>
      <c r="E15" s="4"/>
      <c r="F15" s="4"/>
      <c r="G15" s="198"/>
      <c r="H15" s="4"/>
      <c r="I15" s="4"/>
    </row>
    <row r="16" spans="2:9" ht="15.5" x14ac:dyDescent="0.35">
      <c r="B16" s="4"/>
      <c r="C16" s="4" t="s">
        <v>166</v>
      </c>
      <c r="D16" s="4"/>
      <c r="E16" s="4"/>
      <c r="F16" s="4"/>
      <c r="G16" s="198">
        <f>'1. SPA Reproduction Data '!H70</f>
        <v>0.12</v>
      </c>
      <c r="H16" s="4"/>
      <c r="I16" s="4"/>
    </row>
    <row r="17" spans="2:9" ht="15.5" x14ac:dyDescent="0.35">
      <c r="B17" s="4"/>
      <c r="C17" s="4"/>
      <c r="D17" s="4"/>
      <c r="E17" s="4"/>
      <c r="F17" s="4"/>
      <c r="G17" s="198"/>
      <c r="H17" s="4"/>
      <c r="I17" s="4"/>
    </row>
    <row r="18" spans="2:9" ht="15.5" x14ac:dyDescent="0.35">
      <c r="B18" s="4"/>
      <c r="C18" s="4" t="s">
        <v>167</v>
      </c>
      <c r="D18" s="4"/>
      <c r="E18" s="4"/>
      <c r="F18" s="4"/>
      <c r="G18" s="58">
        <f>'1. SPA Reproduction Data '!L135</f>
        <v>2.2988505747126436E-2</v>
      </c>
      <c r="H18" s="4"/>
      <c r="I18" s="4"/>
    </row>
    <row r="19" spans="2:9" ht="15.5" x14ac:dyDescent="0.35">
      <c r="B19" s="4"/>
      <c r="C19" s="4"/>
      <c r="D19" s="4"/>
      <c r="E19" s="4"/>
      <c r="F19" s="4"/>
      <c r="G19" s="4"/>
      <c r="H19" s="4"/>
      <c r="I19" s="4"/>
    </row>
    <row r="20" spans="2:9" ht="15.5" x14ac:dyDescent="0.35">
      <c r="B20" s="9" t="s">
        <v>170</v>
      </c>
      <c r="C20" s="4"/>
      <c r="D20" s="4"/>
      <c r="E20" s="4"/>
      <c r="F20" s="4"/>
      <c r="G20" s="4"/>
      <c r="H20" s="4"/>
      <c r="I20" s="4"/>
    </row>
    <row r="21" spans="2:9" ht="15.5" x14ac:dyDescent="0.35">
      <c r="B21" s="4"/>
      <c r="C21" s="4"/>
      <c r="D21" s="4"/>
      <c r="E21" s="4"/>
      <c r="F21" s="4"/>
      <c r="G21" s="4"/>
      <c r="H21" s="4"/>
      <c r="I21" s="4"/>
    </row>
    <row r="22" spans="2:9" ht="15.5" x14ac:dyDescent="0.35">
      <c r="B22" s="4"/>
      <c r="C22" s="4" t="s">
        <v>155</v>
      </c>
      <c r="D22" s="4"/>
      <c r="E22" s="4"/>
      <c r="F22" s="4"/>
      <c r="G22" s="4">
        <f>'1. SPA Reproduction Data '!F153</f>
        <v>7.5</v>
      </c>
      <c r="H22" s="4"/>
      <c r="I22" s="4"/>
    </row>
    <row r="23" spans="2:9" ht="15.5" x14ac:dyDescent="0.35">
      <c r="B23" s="4"/>
      <c r="C23" s="4"/>
      <c r="D23" s="4"/>
      <c r="E23" s="4"/>
      <c r="F23" s="4"/>
      <c r="G23" s="4"/>
      <c r="H23" s="4"/>
      <c r="I23" s="4"/>
    </row>
    <row r="24" spans="2:9" ht="15.5" x14ac:dyDescent="0.35">
      <c r="B24" s="4"/>
      <c r="C24" s="4" t="s">
        <v>171</v>
      </c>
      <c r="D24" s="4"/>
      <c r="E24" s="4"/>
      <c r="F24" s="4"/>
      <c r="G24" s="4" t="s">
        <v>160</v>
      </c>
      <c r="H24" s="4"/>
      <c r="I24" s="4"/>
    </row>
    <row r="25" spans="2:9" ht="15.5" x14ac:dyDescent="0.35">
      <c r="B25" s="4"/>
      <c r="C25" s="4"/>
      <c r="D25" s="4"/>
      <c r="E25" s="4"/>
      <c r="F25" s="4"/>
      <c r="G25" s="4"/>
      <c r="H25" s="4"/>
      <c r="I25" s="4"/>
    </row>
    <row r="26" spans="2:9" ht="15.5" x14ac:dyDescent="0.35">
      <c r="B26" s="4"/>
      <c r="C26" s="4"/>
      <c r="D26" s="4" t="s">
        <v>156</v>
      </c>
      <c r="E26" s="4"/>
      <c r="F26" s="4"/>
      <c r="G26" s="77">
        <f>'2. SPA Weaning Data '!J14</f>
        <v>0</v>
      </c>
      <c r="H26" s="4"/>
      <c r="I26" s="4"/>
    </row>
    <row r="27" spans="2:9" ht="15.5" x14ac:dyDescent="0.35">
      <c r="B27" s="4"/>
      <c r="C27" s="4"/>
      <c r="D27" s="4"/>
      <c r="E27" s="4"/>
      <c r="F27" s="4"/>
      <c r="G27" s="4"/>
      <c r="H27" s="4"/>
      <c r="I27" s="4"/>
    </row>
    <row r="28" spans="2:9" ht="15.5" x14ac:dyDescent="0.35">
      <c r="B28" s="4"/>
      <c r="C28" s="4"/>
      <c r="D28" s="4" t="s">
        <v>157</v>
      </c>
      <c r="E28" s="4"/>
      <c r="F28" s="4"/>
      <c r="G28" s="77">
        <f>'2. SPA Weaning Data '!J21</f>
        <v>550</v>
      </c>
      <c r="H28" s="4"/>
      <c r="I28" s="4"/>
    </row>
    <row r="29" spans="2:9" ht="15.5" x14ac:dyDescent="0.35">
      <c r="B29" s="4"/>
      <c r="C29" s="4"/>
      <c r="D29" s="4"/>
      <c r="E29" s="4"/>
      <c r="F29" s="4"/>
      <c r="G29" s="4"/>
      <c r="H29" s="4"/>
      <c r="I29" s="4"/>
    </row>
    <row r="30" spans="2:9" ht="15.5" x14ac:dyDescent="0.35">
      <c r="B30" s="4"/>
      <c r="C30" s="4"/>
      <c r="D30" s="4" t="s">
        <v>158</v>
      </c>
      <c r="E30" s="4"/>
      <c r="F30" s="4"/>
      <c r="G30" s="77">
        <f>'2. SPA Weaning Data '!J31</f>
        <v>525</v>
      </c>
      <c r="H30" s="4"/>
      <c r="I30" s="4"/>
    </row>
    <row r="31" spans="2:9" ht="15.5" x14ac:dyDescent="0.35">
      <c r="B31" s="4"/>
      <c r="C31" s="4"/>
      <c r="D31" s="4"/>
      <c r="E31" s="4"/>
      <c r="F31" s="4"/>
      <c r="G31" s="4"/>
      <c r="H31" s="4"/>
      <c r="I31" s="4"/>
    </row>
    <row r="32" spans="2:9" ht="15.5" x14ac:dyDescent="0.35">
      <c r="B32" s="4"/>
      <c r="C32" s="4"/>
      <c r="D32" s="4" t="s">
        <v>159</v>
      </c>
      <c r="E32" s="4"/>
      <c r="F32" s="4"/>
      <c r="G32" s="77">
        <f>'2. SPA Weaning Data '!J34</f>
        <v>537.72058823529414</v>
      </c>
      <c r="H32" s="4"/>
      <c r="I32" s="4"/>
    </row>
    <row r="33" spans="2:9" ht="15.5" x14ac:dyDescent="0.35">
      <c r="B33" s="4"/>
      <c r="C33" s="4"/>
      <c r="D33" s="4"/>
      <c r="E33" s="4"/>
      <c r="F33" s="4"/>
      <c r="G33" s="4"/>
      <c r="H33" s="4"/>
      <c r="I33" s="4"/>
    </row>
    <row r="34" spans="2:9" ht="15.5" x14ac:dyDescent="0.35">
      <c r="B34" s="4"/>
      <c r="C34" s="4" t="s">
        <v>172</v>
      </c>
      <c r="D34" s="4"/>
      <c r="E34" s="4"/>
      <c r="F34" s="4"/>
      <c r="G34" s="77">
        <f>'2. SPA Weaning Data '!I49</f>
        <v>457.0625</v>
      </c>
      <c r="H34" s="4"/>
      <c r="I34" s="4"/>
    </row>
    <row r="35" spans="2:9" ht="15.5" x14ac:dyDescent="0.35">
      <c r="B35" s="4"/>
      <c r="C35" s="4"/>
      <c r="D35" s="4"/>
      <c r="E35" s="4"/>
      <c r="F35" s="4"/>
      <c r="G35" s="77"/>
      <c r="H35" s="4"/>
      <c r="I35" s="4"/>
    </row>
    <row r="36" spans="2:9" ht="15.5" x14ac:dyDescent="0.35">
      <c r="B36" s="4" t="s">
        <v>175</v>
      </c>
      <c r="C36" s="4"/>
      <c r="D36" s="4"/>
      <c r="E36" s="4"/>
      <c r="F36" s="4"/>
      <c r="G36" s="77" t="s">
        <v>41</v>
      </c>
      <c r="H36" s="4"/>
      <c r="I36" s="4"/>
    </row>
    <row r="37" spans="2:9" ht="15.5" x14ac:dyDescent="0.35">
      <c r="B37" s="4"/>
      <c r="C37" s="4"/>
      <c r="D37" s="4" t="s">
        <v>156</v>
      </c>
      <c r="E37" s="4"/>
      <c r="F37" s="4"/>
      <c r="G37" s="79">
        <f>'2. SPA Weaning Data '!L14</f>
        <v>0</v>
      </c>
      <c r="H37" s="4"/>
      <c r="I37" s="4"/>
    </row>
    <row r="38" spans="2:9" ht="15.5" x14ac:dyDescent="0.35">
      <c r="B38" s="4"/>
      <c r="C38" s="4"/>
      <c r="D38" s="4"/>
      <c r="E38" s="4"/>
      <c r="F38" s="4"/>
      <c r="G38" s="79"/>
      <c r="H38" s="4"/>
      <c r="I38" s="4"/>
    </row>
    <row r="39" spans="2:9" ht="15.5" x14ac:dyDescent="0.35">
      <c r="B39" s="4"/>
      <c r="C39" s="4"/>
      <c r="D39" s="4" t="s">
        <v>157</v>
      </c>
      <c r="E39" s="4"/>
      <c r="F39" s="4"/>
      <c r="G39" s="79">
        <f>'2. SPA Weaning Data '!L21</f>
        <v>160</v>
      </c>
      <c r="H39" s="4"/>
      <c r="I39" s="4"/>
    </row>
    <row r="40" spans="2:9" ht="15.5" x14ac:dyDescent="0.35">
      <c r="B40" s="4"/>
      <c r="C40" s="4"/>
      <c r="D40" s="4"/>
      <c r="E40" s="4"/>
      <c r="F40" s="4"/>
      <c r="G40" s="79"/>
      <c r="H40" s="4"/>
      <c r="I40" s="4"/>
    </row>
    <row r="41" spans="2:9" ht="15.5" x14ac:dyDescent="0.35">
      <c r="B41" s="4"/>
      <c r="D41" s="4" t="s">
        <v>158</v>
      </c>
      <c r="E41" s="4"/>
      <c r="F41" s="4"/>
      <c r="G41" s="79">
        <f>'2. SPA Weaning Data '!L31</f>
        <v>142.87425149700599</v>
      </c>
      <c r="H41" s="4"/>
      <c r="I41" s="4"/>
    </row>
    <row r="42" spans="2:9" ht="15.5" x14ac:dyDescent="0.35">
      <c r="B42" s="4"/>
      <c r="C42" s="4"/>
      <c r="D42" s="4"/>
      <c r="E42" s="4"/>
      <c r="F42" s="4"/>
      <c r="G42" s="79"/>
      <c r="H42" s="4"/>
      <c r="I42" s="4"/>
    </row>
    <row r="43" spans="2:9" ht="15.5" x14ac:dyDescent="0.35">
      <c r="B43" s="4"/>
      <c r="C43" s="4"/>
      <c r="D43" s="4" t="s">
        <v>176</v>
      </c>
      <c r="E43" s="4"/>
      <c r="F43" s="4"/>
      <c r="G43" s="79">
        <f>'2. SPA Weaning Data '!L34</f>
        <v>151.7872282237112</v>
      </c>
      <c r="H43" s="4"/>
      <c r="I43" s="4"/>
    </row>
    <row r="44" spans="2:9" ht="15.5" x14ac:dyDescent="0.35">
      <c r="B44" s="4"/>
      <c r="C44" s="4"/>
      <c r="D44" s="4"/>
      <c r="E44" s="4"/>
      <c r="F44" s="4"/>
      <c r="G44" s="79"/>
      <c r="H44" s="4"/>
      <c r="I44" s="4"/>
    </row>
    <row r="45" spans="2:9" ht="15.5" x14ac:dyDescent="0.35">
      <c r="B45" s="9" t="s">
        <v>319</v>
      </c>
      <c r="C45" s="52"/>
      <c r="I45" s="4"/>
    </row>
    <row r="46" spans="2:9" ht="15.5" x14ac:dyDescent="0.35">
      <c r="B46" s="52"/>
      <c r="C46" s="52"/>
      <c r="G46" s="16" t="s">
        <v>320</v>
      </c>
      <c r="I46" s="4"/>
    </row>
    <row r="47" spans="2:9" ht="15.5" x14ac:dyDescent="0.35">
      <c r="B47" s="9" t="s">
        <v>321</v>
      </c>
      <c r="C47" s="52"/>
      <c r="G47" s="192">
        <f>SUM(G49:G52)</f>
        <v>7.5</v>
      </c>
      <c r="I47" s="4"/>
    </row>
    <row r="48" spans="2:9" ht="15.5" x14ac:dyDescent="0.35">
      <c r="B48" s="52"/>
      <c r="C48" s="52"/>
      <c r="I48" s="4"/>
    </row>
    <row r="49" spans="2:9" ht="15.5" x14ac:dyDescent="0.35">
      <c r="B49" s="52"/>
      <c r="C49" s="52" t="s">
        <v>322</v>
      </c>
      <c r="G49" s="193">
        <f>'4. Grazing &amp; Raised Feed'!C45/'1. SPA Reproduction Data '!$H$60</f>
        <v>6.875</v>
      </c>
      <c r="I49" s="4"/>
    </row>
    <row r="50" spans="2:9" ht="15.5" x14ac:dyDescent="0.35">
      <c r="B50" s="52"/>
      <c r="C50" s="52" t="s">
        <v>323</v>
      </c>
      <c r="G50" s="193">
        <f>'4. Grazing &amp; Raised Feed'!C48/'1. SPA Reproduction Data '!$H$60</f>
        <v>0.5</v>
      </c>
      <c r="I50" s="199"/>
    </row>
    <row r="51" spans="2:9" ht="15.5" x14ac:dyDescent="0.35">
      <c r="B51" s="52"/>
      <c r="C51" s="52"/>
      <c r="G51" s="193"/>
      <c r="I51" s="4"/>
    </row>
    <row r="52" spans="2:9" ht="15.5" x14ac:dyDescent="0.35">
      <c r="B52" s="52"/>
      <c r="C52" s="52" t="s">
        <v>324</v>
      </c>
      <c r="G52" s="193">
        <f>'4. Grazing &amp; Raised Feed'!C46/'1. SPA Reproduction Data '!$H$60</f>
        <v>0.125</v>
      </c>
      <c r="I52" s="4"/>
    </row>
    <row r="53" spans="2:9" ht="15.5" x14ac:dyDescent="0.35">
      <c r="B53" s="52"/>
      <c r="C53" s="52"/>
      <c r="I53" s="4"/>
    </row>
    <row r="54" spans="2:9" ht="15.5" x14ac:dyDescent="0.35">
      <c r="B54" s="9" t="s">
        <v>318</v>
      </c>
      <c r="C54" s="52"/>
      <c r="G54" s="91">
        <f>'4. Grazing &amp; Raised Feed'!I50</f>
        <v>60.94166666666667</v>
      </c>
      <c r="I54" s="4"/>
    </row>
    <row r="55" spans="2:9" ht="15.5" x14ac:dyDescent="0.35">
      <c r="B55" s="9"/>
      <c r="C55" s="52"/>
      <c r="G55" s="91"/>
      <c r="I55" s="4"/>
    </row>
    <row r="56" spans="2:9" ht="15.5" x14ac:dyDescent="0.35">
      <c r="B56" s="9"/>
      <c r="C56" s="4"/>
      <c r="G56" s="16" t="s">
        <v>354</v>
      </c>
      <c r="I56" s="4"/>
    </row>
    <row r="57" spans="2:9" ht="15.5" x14ac:dyDescent="0.35">
      <c r="B57" s="224" t="s">
        <v>356</v>
      </c>
      <c r="C57" s="4"/>
      <c r="G57" s="231">
        <f>'5. Feed Fed'!F27</f>
        <v>1260</v>
      </c>
      <c r="I57" s="4"/>
    </row>
    <row r="58" spans="2:9" ht="15.5" x14ac:dyDescent="0.35">
      <c r="B58" s="34" t="s">
        <v>355</v>
      </c>
      <c r="I58" s="4"/>
    </row>
    <row r="59" spans="2:9" ht="15.5" x14ac:dyDescent="0.35">
      <c r="B59" s="25" t="s">
        <v>168</v>
      </c>
      <c r="D59" s="4"/>
      <c r="E59" s="4"/>
      <c r="F59" s="4"/>
      <c r="G59" s="4"/>
      <c r="H59" s="4"/>
      <c r="I59" s="4"/>
    </row>
    <row r="60" spans="2:9" ht="15.5" x14ac:dyDescent="0.35">
      <c r="B60" s="25" t="s">
        <v>169</v>
      </c>
      <c r="D60" s="4"/>
      <c r="E60" s="4"/>
      <c r="F60" s="4"/>
      <c r="G60" s="4"/>
      <c r="H60" s="4"/>
      <c r="I60" s="4"/>
    </row>
  </sheetData>
  <sheetProtection sheet="1" objects="1" scenarios="1"/>
  <phoneticPr fontId="6" type="noConversion"/>
  <pageMargins left="1" right="0.5" top="1" bottom="1" header="0.5" footer="0.5"/>
  <pageSetup scale="72" orientation="portrait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W67"/>
  <sheetViews>
    <sheetView topLeftCell="A4" workbookViewId="0">
      <selection activeCell="Q27" sqref="Q27"/>
    </sheetView>
  </sheetViews>
  <sheetFormatPr defaultRowHeight="12.5" x14ac:dyDescent="0.25"/>
  <cols>
    <col min="1" max="1" width="4.81640625" customWidth="1"/>
    <col min="22" max="22" width="12.81640625" customWidth="1"/>
  </cols>
  <sheetData>
    <row r="13" spans="20:23" x14ac:dyDescent="0.25">
      <c r="U13" t="s">
        <v>154</v>
      </c>
    </row>
    <row r="14" spans="20:23" x14ac:dyDescent="0.25">
      <c r="U14" s="16" t="s">
        <v>143</v>
      </c>
      <c r="V14" s="16" t="s">
        <v>225</v>
      </c>
      <c r="W14" s="16" t="s">
        <v>226</v>
      </c>
    </row>
    <row r="15" spans="20:23" x14ac:dyDescent="0.25">
      <c r="T15" t="s">
        <v>7</v>
      </c>
      <c r="U15" s="117">
        <f>'6. SPA Performance Results'!G6</f>
        <v>0.88</v>
      </c>
      <c r="V15" s="117">
        <f>'6. SPA Performance Results'!G10</f>
        <v>0.87</v>
      </c>
      <c r="W15" s="117">
        <f>'6. SPA Performance Results'!G14</f>
        <v>0.85</v>
      </c>
    </row>
    <row r="34" spans="19:23" x14ac:dyDescent="0.25">
      <c r="T34" s="16" t="s">
        <v>228</v>
      </c>
      <c r="U34" s="16"/>
      <c r="V34" s="16" t="s">
        <v>227</v>
      </c>
      <c r="W34" s="16" t="s">
        <v>229</v>
      </c>
    </row>
    <row r="35" spans="19:23" x14ac:dyDescent="0.25">
      <c r="S35" t="s">
        <v>7</v>
      </c>
      <c r="T35" s="78">
        <f>'1. SPA Reproduction Data '!H65</f>
        <v>0.01</v>
      </c>
      <c r="U35" s="78"/>
      <c r="V35" s="78">
        <f>'6. SPA Performance Results'!G8</f>
        <v>1.0000000000000009E-2</v>
      </c>
      <c r="W35" s="78">
        <f>'6. SPA Performance Results'!G12</f>
        <v>0.02</v>
      </c>
    </row>
    <row r="67" spans="2:11" x14ac:dyDescent="0.25">
      <c r="B67" t="s">
        <v>230</v>
      </c>
      <c r="K67" s="118">
        <f>'6. SPA Performance Results'!G18</f>
        <v>2.2988505747126436E-2</v>
      </c>
    </row>
  </sheetData>
  <sheetProtection sheet="1" objects="1" scenarios="1"/>
  <phoneticPr fontId="6" type="noConversion"/>
  <pageMargins left="1" right="0.5" top="1" bottom="1" header="0.5" footer="0.5"/>
  <pageSetup scale="75" orientation="portrait" horizontalDpi="4294967293" r:id="rId1"/>
  <headerFooter alignWithMargins="0">
    <oddFooter>&amp;L&amp;F&amp;R&amp;A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9"/>
  <sheetViews>
    <sheetView topLeftCell="A22" zoomScaleNormal="100" workbookViewId="0">
      <selection activeCell="B29" sqref="B29"/>
    </sheetView>
  </sheetViews>
  <sheetFormatPr defaultRowHeight="12.5" x14ac:dyDescent="0.25"/>
  <cols>
    <col min="1" max="1" width="3.26953125" customWidth="1"/>
    <col min="2" max="2" width="43.54296875" customWidth="1"/>
    <col min="3" max="3" width="15" customWidth="1"/>
    <col min="4" max="4" width="17.81640625" customWidth="1"/>
    <col min="5" max="5" width="12.7265625" customWidth="1"/>
    <col min="6" max="6" width="8.1796875" customWidth="1"/>
  </cols>
  <sheetData>
    <row r="1" spans="2:10" ht="15.5" x14ac:dyDescent="0.35">
      <c r="B1" s="232" t="s">
        <v>189</v>
      </c>
      <c r="C1" s="232"/>
      <c r="D1" s="232"/>
      <c r="E1" s="232"/>
      <c r="F1" s="4"/>
      <c r="G1" s="4"/>
      <c r="H1" s="4"/>
      <c r="I1" s="4"/>
      <c r="J1" s="4"/>
    </row>
    <row r="2" spans="2:10" ht="15.5" x14ac:dyDescent="0.35">
      <c r="B2" s="4"/>
      <c r="C2" s="4"/>
      <c r="D2" s="4"/>
      <c r="E2" s="4"/>
      <c r="F2" s="4"/>
      <c r="G2" s="4"/>
      <c r="H2" s="4"/>
      <c r="I2" s="4"/>
      <c r="J2" s="4"/>
    </row>
    <row r="3" spans="2:10" ht="15.5" x14ac:dyDescent="0.35">
      <c r="B3" s="4" t="s">
        <v>10</v>
      </c>
      <c r="C3" s="5"/>
      <c r="D3" s="5"/>
      <c r="E3" s="5"/>
      <c r="F3" s="4"/>
      <c r="J3" s="4"/>
    </row>
    <row r="4" spans="2:10" ht="15.5" x14ac:dyDescent="0.35">
      <c r="B4" s="4"/>
      <c r="C4" s="7"/>
      <c r="D4" s="7"/>
      <c r="E4" s="7"/>
      <c r="F4" s="4"/>
      <c r="G4" s="8"/>
      <c r="H4" s="8"/>
      <c r="I4" s="8"/>
      <c r="J4" s="4"/>
    </row>
    <row r="5" spans="2:10" ht="15.5" x14ac:dyDescent="0.35">
      <c r="B5" s="4" t="s">
        <v>21</v>
      </c>
      <c r="C5" s="247"/>
      <c r="D5" s="247"/>
      <c r="E5" s="247"/>
      <c r="F5" s="4"/>
      <c r="G5" s="8"/>
      <c r="H5" s="8"/>
      <c r="I5" s="8"/>
      <c r="J5" s="4"/>
    </row>
    <row r="6" spans="2:10" ht="15.5" x14ac:dyDescent="0.35">
      <c r="B6" s="4"/>
      <c r="C6" s="7"/>
      <c r="D6" s="7"/>
      <c r="E6" s="7"/>
      <c r="F6" s="4"/>
      <c r="G6" s="8"/>
      <c r="H6" s="8"/>
      <c r="I6" s="8"/>
      <c r="J6" s="4"/>
    </row>
    <row r="7" spans="2:10" ht="15.5" x14ac:dyDescent="0.35">
      <c r="B7" s="4" t="s">
        <v>12</v>
      </c>
      <c r="C7" s="6"/>
      <c r="D7" s="4"/>
      <c r="E7" s="4"/>
      <c r="F7" s="4"/>
      <c r="G7" s="4"/>
      <c r="H7" s="4"/>
      <c r="I7" s="4"/>
      <c r="J7" s="4"/>
    </row>
    <row r="8" spans="2:10" ht="15.5" x14ac:dyDescent="0.35">
      <c r="B8" s="4"/>
      <c r="C8" s="4"/>
      <c r="D8" s="4"/>
      <c r="E8" s="4"/>
      <c r="F8" s="10"/>
      <c r="G8" s="4"/>
      <c r="H8" s="4"/>
      <c r="I8" s="4"/>
      <c r="J8" s="4"/>
    </row>
    <row r="9" spans="2:10" ht="15.5" x14ac:dyDescent="0.35">
      <c r="B9" s="4" t="s">
        <v>27</v>
      </c>
      <c r="C9" s="6"/>
      <c r="D9" s="52" t="s">
        <v>28</v>
      </c>
      <c r="E9" s="53"/>
      <c r="G9" s="4"/>
      <c r="H9" s="4"/>
      <c r="I9" s="4"/>
      <c r="J9" s="4"/>
    </row>
    <row r="10" spans="2:10" ht="15.5" x14ac:dyDescent="0.35">
      <c r="B10" s="4"/>
      <c r="C10" s="4"/>
      <c r="D10" s="4"/>
      <c r="E10" s="4"/>
      <c r="F10" s="4"/>
      <c r="G10" s="4"/>
      <c r="H10" s="4"/>
      <c r="I10" s="4"/>
      <c r="J10" s="4"/>
    </row>
    <row r="11" spans="2:10" ht="15.5" x14ac:dyDescent="0.35">
      <c r="B11" s="4" t="s">
        <v>17</v>
      </c>
      <c r="C11" s="6"/>
      <c r="D11" s="4"/>
      <c r="E11" s="4"/>
      <c r="F11" s="4"/>
      <c r="G11" s="4"/>
      <c r="H11" s="4"/>
      <c r="I11" s="4"/>
      <c r="J11" s="4"/>
    </row>
    <row r="12" spans="2:10" ht="15.5" x14ac:dyDescent="0.35">
      <c r="B12" s="4"/>
      <c r="C12" s="4"/>
      <c r="D12" s="4"/>
      <c r="E12" s="4"/>
      <c r="F12" s="4"/>
      <c r="G12" s="4"/>
      <c r="H12" s="4"/>
      <c r="I12" s="4"/>
      <c r="J12" s="4"/>
    </row>
    <row r="13" spans="2:10" ht="15.5" x14ac:dyDescent="0.35">
      <c r="B13" s="4" t="s">
        <v>18</v>
      </c>
      <c r="C13" s="6"/>
      <c r="D13" s="4"/>
      <c r="E13" s="4"/>
      <c r="F13" s="4"/>
      <c r="G13" s="4"/>
      <c r="H13" s="4"/>
      <c r="I13" s="4"/>
      <c r="J13" s="4"/>
    </row>
    <row r="14" spans="2:10" ht="15.5" x14ac:dyDescent="0.35">
      <c r="B14" s="4"/>
      <c r="C14" s="4"/>
      <c r="D14" s="4"/>
      <c r="E14" s="4"/>
      <c r="F14" s="4"/>
      <c r="G14" s="4"/>
      <c r="H14" s="4"/>
      <c r="I14" s="4"/>
      <c r="J14" s="4"/>
    </row>
    <row r="15" spans="2:10" ht="15.5" x14ac:dyDescent="0.35">
      <c r="B15" s="4" t="s">
        <v>19</v>
      </c>
      <c r="C15" s="6"/>
      <c r="D15" s="4"/>
      <c r="E15" s="4"/>
      <c r="F15" s="4"/>
      <c r="G15" s="4"/>
      <c r="H15" s="4"/>
      <c r="I15" s="4"/>
      <c r="J15" s="4"/>
    </row>
    <row r="16" spans="2:10" ht="15.5" x14ac:dyDescent="0.35">
      <c r="B16" s="4"/>
      <c r="C16" s="4"/>
      <c r="D16" s="4"/>
      <c r="E16" s="4"/>
      <c r="F16" s="4"/>
      <c r="G16" s="4"/>
      <c r="H16" s="4"/>
      <c r="I16" s="4"/>
      <c r="J16" s="4"/>
    </row>
    <row r="17" spans="2:10" ht="15.5" x14ac:dyDescent="0.35">
      <c r="B17" s="4" t="s">
        <v>20</v>
      </c>
      <c r="C17" s="6"/>
      <c r="D17" s="4"/>
      <c r="E17" s="4"/>
      <c r="F17" s="4"/>
      <c r="G17" s="4"/>
      <c r="H17" s="4"/>
      <c r="I17" s="4"/>
      <c r="J17" s="4"/>
    </row>
    <row r="18" spans="2:10" ht="15.5" x14ac:dyDescent="0.35">
      <c r="B18" s="4"/>
      <c r="C18" s="4"/>
      <c r="D18" s="4"/>
      <c r="E18" s="4"/>
      <c r="F18" s="4"/>
      <c r="G18" s="4"/>
      <c r="H18" s="4"/>
      <c r="I18" s="4"/>
      <c r="J18" s="4"/>
    </row>
    <row r="19" spans="2:10" ht="15.5" x14ac:dyDescent="0.35">
      <c r="B19" s="4" t="s">
        <v>25</v>
      </c>
      <c r="C19" s="6"/>
      <c r="D19" s="4"/>
      <c r="E19" s="4"/>
      <c r="F19" s="4"/>
      <c r="G19" s="4"/>
      <c r="H19" s="4"/>
      <c r="I19" s="4"/>
      <c r="J19" s="4"/>
    </row>
    <row r="20" spans="2:10" ht="15.5" x14ac:dyDescent="0.35">
      <c r="B20" s="4"/>
      <c r="C20" s="4"/>
      <c r="D20" s="4"/>
      <c r="E20" s="4"/>
      <c r="F20" s="4"/>
      <c r="G20" s="4"/>
      <c r="H20" s="4"/>
      <c r="I20" s="4"/>
      <c r="J20" s="4"/>
    </row>
    <row r="21" spans="2:10" ht="15.5" x14ac:dyDescent="0.35">
      <c r="B21" s="9" t="s">
        <v>26</v>
      </c>
      <c r="C21" s="4"/>
      <c r="D21" s="4"/>
      <c r="E21" s="4"/>
      <c r="F21" s="4"/>
      <c r="G21" s="4"/>
      <c r="H21" s="4"/>
      <c r="I21" s="4"/>
      <c r="J21" s="4"/>
    </row>
    <row r="22" spans="2:10" ht="15.5" x14ac:dyDescent="0.35">
      <c r="B22" s="4"/>
      <c r="C22" s="4"/>
      <c r="D22" s="4"/>
      <c r="E22" s="4"/>
      <c r="F22" s="4"/>
      <c r="G22" s="4"/>
      <c r="H22" s="4"/>
      <c r="I22" s="4"/>
      <c r="J22" s="4"/>
    </row>
    <row r="23" spans="2:10" ht="15.5" x14ac:dyDescent="0.35">
      <c r="B23" s="9"/>
      <c r="C23" s="3" t="s">
        <v>22</v>
      </c>
      <c r="D23" s="3" t="s">
        <v>22</v>
      </c>
      <c r="E23" s="3" t="s">
        <v>22</v>
      </c>
      <c r="F23" s="4"/>
      <c r="G23" s="4"/>
      <c r="H23" s="4"/>
      <c r="I23" s="4"/>
      <c r="J23" s="4"/>
    </row>
    <row r="24" spans="2:10" ht="15.5" x14ac:dyDescent="0.35">
      <c r="B24" s="9" t="s">
        <v>5</v>
      </c>
      <c r="C24" s="3" t="s">
        <v>3</v>
      </c>
      <c r="D24" s="3" t="s">
        <v>23</v>
      </c>
      <c r="E24" s="3" t="s">
        <v>4</v>
      </c>
      <c r="F24" s="4"/>
      <c r="G24" s="4"/>
      <c r="H24" s="4"/>
      <c r="I24" s="4"/>
      <c r="J24" s="4"/>
    </row>
    <row r="25" spans="2:10" ht="20.149999999999999" customHeight="1" x14ac:dyDescent="0.35">
      <c r="B25" s="4"/>
      <c r="C25" s="10"/>
      <c r="D25" s="10"/>
      <c r="E25" s="10"/>
      <c r="F25" s="4"/>
      <c r="G25" s="4"/>
      <c r="H25" s="4"/>
      <c r="I25" s="4"/>
      <c r="J25" s="4"/>
    </row>
    <row r="26" spans="2:10" ht="20.149999999999999" customHeight="1" x14ac:dyDescent="0.35">
      <c r="B26" s="6"/>
      <c r="C26" s="11"/>
      <c r="D26" s="11"/>
      <c r="E26" s="11"/>
      <c r="F26" s="4"/>
      <c r="G26" s="4"/>
      <c r="H26" s="4"/>
      <c r="I26" s="4"/>
      <c r="J26" s="4"/>
    </row>
    <row r="27" spans="2:10" ht="20.149999999999999" customHeight="1" x14ac:dyDescent="0.35">
      <c r="B27" s="6"/>
      <c r="C27" s="11"/>
      <c r="D27" s="11"/>
      <c r="E27" s="11"/>
      <c r="F27" s="4"/>
      <c r="G27" s="4"/>
      <c r="H27" s="4"/>
      <c r="I27" s="4"/>
      <c r="J27" s="4"/>
    </row>
    <row r="28" spans="2:10" ht="20.149999999999999" customHeight="1" x14ac:dyDescent="0.35">
      <c r="B28" s="6"/>
      <c r="C28" s="11"/>
      <c r="D28" s="11"/>
      <c r="E28" s="11"/>
      <c r="F28" s="4"/>
      <c r="G28" s="4"/>
      <c r="H28" s="4"/>
      <c r="I28" s="4"/>
      <c r="J28" s="4"/>
    </row>
    <row r="29" spans="2:10" ht="20.149999999999999" customHeight="1" x14ac:dyDescent="0.35">
      <c r="B29" s="6"/>
      <c r="C29" s="11"/>
      <c r="D29" s="11"/>
      <c r="E29" s="11"/>
      <c r="F29" s="4"/>
      <c r="G29" s="4"/>
      <c r="H29" s="4"/>
      <c r="I29" s="4"/>
      <c r="J29" s="4"/>
    </row>
    <row r="30" spans="2:10" ht="20.149999999999999" customHeight="1" x14ac:dyDescent="0.35">
      <c r="B30" s="6"/>
      <c r="C30" s="11"/>
      <c r="D30" s="11"/>
      <c r="E30" s="11"/>
      <c r="F30" s="4"/>
      <c r="G30" s="4"/>
      <c r="H30" s="4"/>
      <c r="I30" s="4"/>
      <c r="J30" s="4"/>
    </row>
    <row r="31" spans="2:10" ht="20.149999999999999" customHeight="1" x14ac:dyDescent="0.35">
      <c r="B31" s="6"/>
      <c r="C31" s="11"/>
      <c r="D31" s="11"/>
      <c r="E31" s="11"/>
      <c r="F31" s="4"/>
      <c r="G31" s="4"/>
      <c r="H31" s="4"/>
      <c r="I31" s="4"/>
      <c r="J31" s="4"/>
    </row>
    <row r="32" spans="2:10" ht="20.149999999999999" customHeight="1" x14ac:dyDescent="0.35">
      <c r="B32" s="6"/>
      <c r="C32" s="11"/>
      <c r="D32" s="11"/>
      <c r="E32" s="11"/>
      <c r="F32" s="4"/>
      <c r="G32" s="4"/>
      <c r="H32" s="4"/>
      <c r="I32" s="4"/>
      <c r="J32" s="4"/>
    </row>
    <row r="33" spans="2:10" ht="15.5" x14ac:dyDescent="0.35">
      <c r="B33" s="4"/>
      <c r="C33" s="10"/>
      <c r="D33" s="10"/>
      <c r="E33" s="10"/>
      <c r="F33" s="4"/>
      <c r="G33" s="4"/>
      <c r="H33" s="4"/>
      <c r="I33" s="4"/>
      <c r="J33" s="4"/>
    </row>
    <row r="34" spans="2:10" ht="15.5" x14ac:dyDescent="0.35">
      <c r="B34" s="9" t="s">
        <v>24</v>
      </c>
      <c r="C34" s="3" t="s">
        <v>22</v>
      </c>
      <c r="D34" s="3" t="s">
        <v>23</v>
      </c>
      <c r="E34" s="3" t="s">
        <v>4</v>
      </c>
      <c r="F34" s="4"/>
      <c r="G34" s="4"/>
      <c r="H34" s="4"/>
      <c r="I34" s="4"/>
      <c r="J34" s="4"/>
    </row>
    <row r="35" spans="2:10" ht="20.149999999999999" customHeight="1" x14ac:dyDescent="0.35">
      <c r="B35" s="6"/>
      <c r="C35" s="11"/>
      <c r="D35" s="11"/>
      <c r="E35" s="11"/>
      <c r="F35" s="4"/>
      <c r="G35" s="4"/>
      <c r="H35" s="4"/>
      <c r="I35" s="4"/>
      <c r="J35" s="4"/>
    </row>
    <row r="36" spans="2:10" ht="20.149999999999999" customHeight="1" x14ac:dyDescent="0.35">
      <c r="B36" s="6"/>
      <c r="C36" s="11"/>
      <c r="D36" s="11"/>
      <c r="E36" s="11"/>
      <c r="F36" s="4"/>
      <c r="G36" s="4"/>
      <c r="H36" s="4"/>
      <c r="I36" s="4"/>
      <c r="J36" s="4"/>
    </row>
    <row r="37" spans="2:10" ht="20.149999999999999" customHeight="1" x14ac:dyDescent="0.35">
      <c r="B37" s="6"/>
      <c r="C37" s="11"/>
      <c r="D37" s="11"/>
      <c r="E37" s="11"/>
      <c r="F37" s="4"/>
      <c r="G37" s="4"/>
      <c r="H37" s="4"/>
      <c r="I37" s="4"/>
      <c r="J37" s="4"/>
    </row>
    <row r="38" spans="2:10" ht="20.149999999999999" customHeight="1" x14ac:dyDescent="0.35">
      <c r="B38" s="6"/>
      <c r="C38" s="11"/>
      <c r="D38" s="11"/>
      <c r="E38" s="11"/>
      <c r="F38" s="4"/>
      <c r="G38" s="4"/>
      <c r="H38" s="4"/>
      <c r="I38" s="4"/>
      <c r="J38" s="4"/>
    </row>
    <row r="39" spans="2:10" ht="20.149999999999999" customHeight="1" x14ac:dyDescent="0.35">
      <c r="B39" s="6"/>
      <c r="C39" s="11"/>
      <c r="D39" s="11"/>
      <c r="E39" s="11"/>
      <c r="F39" s="4"/>
      <c r="G39" s="4"/>
      <c r="H39" s="4"/>
      <c r="I39" s="4"/>
      <c r="J39" s="4"/>
    </row>
    <row r="40" spans="2:10" ht="20.149999999999999" customHeight="1" x14ac:dyDescent="0.35">
      <c r="B40" s="6"/>
      <c r="C40" s="11"/>
      <c r="D40" s="11"/>
      <c r="E40" s="11"/>
      <c r="F40" s="4"/>
      <c r="G40" s="4"/>
      <c r="H40" s="4"/>
      <c r="I40" s="4"/>
      <c r="J40" s="4"/>
    </row>
    <row r="41" spans="2:10" ht="20.149999999999999" customHeight="1" x14ac:dyDescent="0.35">
      <c r="B41" s="6"/>
      <c r="C41" s="11"/>
      <c r="D41" s="11"/>
      <c r="E41" s="11"/>
      <c r="F41" s="4"/>
      <c r="G41" s="4"/>
      <c r="H41" s="4"/>
      <c r="I41" s="4"/>
      <c r="J41" s="4"/>
    </row>
    <row r="42" spans="2:10" ht="20.149999999999999" customHeight="1" x14ac:dyDescent="0.35">
      <c r="B42" s="6"/>
      <c r="C42" s="11"/>
      <c r="D42" s="11"/>
      <c r="E42" s="11"/>
      <c r="F42" s="4"/>
      <c r="G42" s="4"/>
      <c r="H42" s="4"/>
      <c r="I42" s="4"/>
      <c r="J42" s="4"/>
    </row>
    <row r="43" spans="2:10" ht="15.5" x14ac:dyDescent="0.35">
      <c r="B43" s="4" t="s">
        <v>14</v>
      </c>
      <c r="C43" s="4"/>
      <c r="D43" s="4"/>
      <c r="E43" s="4"/>
      <c r="F43" s="4"/>
      <c r="G43" s="4"/>
      <c r="H43" s="4"/>
      <c r="I43" s="4"/>
      <c r="J43" s="4"/>
    </row>
    <row r="44" spans="2:10" ht="15.5" x14ac:dyDescent="0.35">
      <c r="C44" s="4"/>
      <c r="D44" s="4"/>
      <c r="E44" s="4"/>
      <c r="F44" s="4"/>
      <c r="G44" s="4"/>
      <c r="H44" s="4"/>
      <c r="I44" s="4"/>
      <c r="J44" s="4"/>
    </row>
    <row r="45" spans="2:10" ht="15.5" x14ac:dyDescent="0.35">
      <c r="B45" s="4" t="s">
        <v>30</v>
      </c>
      <c r="C45" s="4"/>
      <c r="D45" s="4"/>
      <c r="E45" s="4"/>
      <c r="F45" s="4"/>
      <c r="G45" s="4"/>
      <c r="H45" s="4"/>
      <c r="I45" s="4"/>
      <c r="J45" s="4"/>
    </row>
    <row r="46" spans="2:10" ht="15.5" x14ac:dyDescent="0.35">
      <c r="B46" s="4"/>
      <c r="C46" s="4"/>
      <c r="D46" s="4"/>
      <c r="E46" s="4"/>
      <c r="F46" s="4"/>
      <c r="G46" s="4"/>
      <c r="H46" s="4"/>
      <c r="I46" s="4"/>
      <c r="J46" s="4"/>
    </row>
    <row r="47" spans="2:10" ht="15.5" x14ac:dyDescent="0.35">
      <c r="B47" s="4" t="s">
        <v>30</v>
      </c>
      <c r="C47" s="4"/>
      <c r="D47" s="4"/>
      <c r="E47" s="4"/>
      <c r="F47" s="4"/>
      <c r="G47" s="4"/>
      <c r="H47" s="4"/>
      <c r="I47" s="4"/>
      <c r="J47" s="4"/>
    </row>
    <row r="48" spans="2:10" ht="15.5" x14ac:dyDescent="0.35">
      <c r="B48" s="9"/>
      <c r="C48" s="10"/>
      <c r="D48" s="10"/>
      <c r="E48" s="10"/>
      <c r="F48" s="4"/>
      <c r="G48" s="4"/>
      <c r="H48" s="4"/>
      <c r="I48" s="4"/>
      <c r="J48" s="4"/>
    </row>
    <row r="49" spans="3:10" ht="15.5" x14ac:dyDescent="0.35">
      <c r="C49" s="4"/>
      <c r="D49" s="4"/>
      <c r="E49" s="4"/>
      <c r="F49" s="4"/>
      <c r="G49" s="4"/>
      <c r="H49" s="4"/>
      <c r="I49" s="4"/>
      <c r="J49" s="4"/>
    </row>
  </sheetData>
  <sheetProtection sheet="1" objects="1" scenarios="1"/>
  <mergeCells count="2">
    <mergeCell ref="C5:E5"/>
    <mergeCell ref="B1:E1"/>
  </mergeCells>
  <phoneticPr fontId="6" type="noConversion"/>
  <pageMargins left="1" right="0.5" top="1" bottom="1" header="0.5" footer="0.5"/>
  <pageSetup scale="84" orientation="portrait" r:id="rId1"/>
  <headerFooter alignWithMargins="0">
    <oddFooter>&amp;LFile Name: &amp;F
&amp;RPregnancy Testing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1. SPA Reproduction Data </vt:lpstr>
      <vt:lpstr>2. SPA Weaning Data </vt:lpstr>
      <vt:lpstr>3. BreedingStockSales&amp;DeathLoss</vt:lpstr>
      <vt:lpstr>4. Grazing &amp; Raised Feed</vt:lpstr>
      <vt:lpstr>5. Feed Fed</vt:lpstr>
      <vt:lpstr>6. SPA Performance Results</vt:lpstr>
      <vt:lpstr>7. SPA Performance Graphs</vt:lpstr>
      <vt:lpstr>Pregnancy Data Worksheet</vt:lpstr>
      <vt:lpstr>'1. SPA Reproduction Data '!Print_Area</vt:lpstr>
      <vt:lpstr>'2. SPA Weaning Data '!Print_Area</vt:lpstr>
      <vt:lpstr>'3. BreedingStockSales&amp;DeathLoss'!Print_Area</vt:lpstr>
      <vt:lpstr>'4. Grazing &amp; Raised Feed'!Print_Area</vt:lpstr>
      <vt:lpstr>'5. Feed Fed'!Print_Area</vt:lpstr>
      <vt:lpstr>'6. SPA Performance Results'!Print_Area</vt:lpstr>
      <vt:lpstr>'7. SPA Performance Graphs'!Print_Area</vt:lpstr>
      <vt:lpstr>'Pregnancy Data Worksheet'!Print_Area</vt:lpstr>
    </vt:vector>
  </TitlesOfParts>
  <Company>Texas A&amp;M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James McGrann</cp:lastModifiedBy>
  <cp:lastPrinted>2014-11-14T01:58:32Z</cp:lastPrinted>
  <dcterms:created xsi:type="dcterms:W3CDTF">2001-08-22T18:58:44Z</dcterms:created>
  <dcterms:modified xsi:type="dcterms:W3CDTF">2017-03-10T02:40:34Z</dcterms:modified>
</cp:coreProperties>
</file>