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ialogsheets/sheet1.xml" ContentType="application/vnd.openxmlformats-officedocument.spreadsheetml.dialogsheet+xml"/>
  <Override PartName="/xl/dialogsheets/sheet2.xml" ContentType="application/vnd.openxmlformats-officedocument.spreadsheetml.dialogsheet+xml"/>
  <Override PartName="/xl/dialogsheets/sheet3.xml" ContentType="application/vnd.openxmlformats-officedocument.spreadsheetml.dialog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AMU Dept. Ag. Eco. Decision Aids\G. Hay &amp; Grazing\"/>
    </mc:Choice>
  </mc:AlternateContent>
  <bookViews>
    <workbookView xWindow="600" yWindow="320" windowWidth="11040" windowHeight="6030"/>
  </bookViews>
  <sheets>
    <sheet name="1. MaterialCost" sheetId="8" r:id="rId1"/>
    <sheet name="2. Regular Fencing" sheetId="2" r:id="rId2"/>
    <sheet name="3. Electric Fencing" sheetId="7" r:id="rId3"/>
    <sheet name="Dlg_Data" sheetId="3" state="hidden" r:id="rId4"/>
    <sheet name="Dlg_Print" sheetId="4" state="hidden" r:id="rId5"/>
    <sheet name="Dlg_Ind" sheetId="5" state="hidden" r:id="rId6"/>
    <sheet name="Module1" sheetId="6" state="veryHidden" r:id="rId7"/>
  </sheets>
  <definedNames>
    <definedName name="annelect">'3. Electric Fencing'!$B$95</definedName>
    <definedName name="annreg">'2. Regular Fencing'!$B$79</definedName>
    <definedName name="braceelect">'3. Electric Fencing'!$B$39</definedName>
    <definedName name="bracereg">'2. Regular Fencing'!$B$31</definedName>
    <definedName name="fence">'1. MaterialCost'!$B$1</definedName>
    <definedName name="invelect">'3. Electric Fencing'!$B$53</definedName>
    <definedName name="invreg">'2. Regular Fencing'!$B$45</definedName>
    <definedName name="main">#REF!</definedName>
    <definedName name="_xlnm.Print_Area" localSheetId="0">'1. MaterialCost'!$B$1:$F$56</definedName>
    <definedName name="_xlnm.Print_Area" localSheetId="1">'2. Regular Fencing'!$A$1:$I$90</definedName>
    <definedName name="_xlnm.Print_Area" localSheetId="2">'3. Electric Fencing'!$B$1:$I$106</definedName>
    <definedName name="reqelect">'3. Electric Fencing'!$B$1</definedName>
    <definedName name="reqreg">'2. Regular Fencing'!$B$1</definedName>
  </definedNames>
  <calcPr calcId="152511" iterate="1" iterateCount="1"/>
</workbook>
</file>

<file path=xl/calcChain.xml><?xml version="1.0" encoding="utf-8"?>
<calcChain xmlns="http://schemas.openxmlformats.org/spreadsheetml/2006/main">
  <c r="G43" i="7" l="1"/>
  <c r="G44" i="7"/>
  <c r="D61" i="7" s="1"/>
  <c r="G45" i="7"/>
  <c r="D62" i="7" s="1"/>
  <c r="G62" i="7" s="1"/>
  <c r="G46" i="7"/>
  <c r="G47" i="7"/>
  <c r="G48" i="7"/>
  <c r="D65" i="7" s="1"/>
  <c r="D55" i="7"/>
  <c r="D60" i="7"/>
  <c r="F60" i="7"/>
  <c r="F61" i="7"/>
  <c r="F62" i="7"/>
  <c r="D63" i="7"/>
  <c r="F63" i="7"/>
  <c r="D64" i="7"/>
  <c r="F64" i="7"/>
  <c r="F65" i="7"/>
  <c r="F66" i="7"/>
  <c r="K66" i="7"/>
  <c r="D67" i="7"/>
  <c r="F67" i="7"/>
  <c r="D69" i="7"/>
  <c r="F69" i="7"/>
  <c r="D70" i="7"/>
  <c r="G70" i="7" s="1"/>
  <c r="F70" i="7"/>
  <c r="D71" i="7"/>
  <c r="F71" i="7"/>
  <c r="D72" i="7"/>
  <c r="F72" i="7"/>
  <c r="D73" i="7"/>
  <c r="F73" i="7"/>
  <c r="D74" i="7"/>
  <c r="F74" i="7"/>
  <c r="D75" i="7"/>
  <c r="F75" i="7"/>
  <c r="D76" i="7"/>
  <c r="F76" i="7"/>
  <c r="D77" i="7"/>
  <c r="F77" i="7"/>
  <c r="G77" i="7" s="1"/>
  <c r="I77" i="7" s="1"/>
  <c r="D78" i="7"/>
  <c r="G78" i="7" s="1"/>
  <c r="F78" i="7"/>
  <c r="D79" i="7"/>
  <c r="F79" i="7"/>
  <c r="D80" i="7"/>
  <c r="F80" i="7"/>
  <c r="F81" i="7"/>
  <c r="F85" i="7"/>
  <c r="F86" i="7"/>
  <c r="F87" i="7"/>
  <c r="F88" i="7"/>
  <c r="F101" i="7"/>
  <c r="E102" i="7"/>
  <c r="G102" i="7" s="1"/>
  <c r="F102" i="7"/>
  <c r="F104" i="7"/>
  <c r="E104" i="7" s="1"/>
  <c r="G104" i="7" s="1"/>
  <c r="H12" i="8"/>
  <c r="E50" i="7" s="1"/>
  <c r="G35" i="2"/>
  <c r="D52" i="2" s="1"/>
  <c r="G36" i="2"/>
  <c r="G37" i="2"/>
  <c r="G38" i="2"/>
  <c r="D55" i="2" s="1"/>
  <c r="G39" i="2"/>
  <c r="D56" i="2" s="1"/>
  <c r="G40" i="2"/>
  <c r="C42" i="2"/>
  <c r="D42" i="2"/>
  <c r="E42" i="2"/>
  <c r="F42" i="2"/>
  <c r="D47" i="2"/>
  <c r="D65" i="2" s="1"/>
  <c r="G65" i="2" s="1"/>
  <c r="H65" i="2" s="1"/>
  <c r="F52" i="2"/>
  <c r="D53" i="2"/>
  <c r="F53" i="2"/>
  <c r="D54" i="2"/>
  <c r="F54" i="2"/>
  <c r="F55" i="2"/>
  <c r="F56" i="2"/>
  <c r="F57" i="2"/>
  <c r="F58" i="2"/>
  <c r="K58" i="2"/>
  <c r="D58" i="2" s="1"/>
  <c r="F59" i="2"/>
  <c r="D60" i="2"/>
  <c r="F60" i="2"/>
  <c r="D61" i="2"/>
  <c r="F61" i="2"/>
  <c r="F62" i="2"/>
  <c r="D63" i="2"/>
  <c r="F63" i="2"/>
  <c r="D64" i="2"/>
  <c r="F64" i="2"/>
  <c r="F65" i="2"/>
  <c r="F69" i="2"/>
  <c r="F70" i="2"/>
  <c r="F71" i="2"/>
  <c r="F72" i="2"/>
  <c r="F85" i="2"/>
  <c r="F86" i="2"/>
  <c r="E86" i="2" s="1"/>
  <c r="G86" i="2" s="1"/>
  <c r="F88" i="2"/>
  <c r="G79" i="7" l="1"/>
  <c r="I79" i="7" s="1"/>
  <c r="G69" i="7"/>
  <c r="I69" i="7" s="1"/>
  <c r="G73" i="7"/>
  <c r="I73" i="7" s="1"/>
  <c r="G71" i="2"/>
  <c r="I71" i="2" s="1"/>
  <c r="G52" i="2"/>
  <c r="D50" i="7"/>
  <c r="C50" i="7"/>
  <c r="G56" i="2"/>
  <c r="I56" i="2" s="1"/>
  <c r="G74" i="7"/>
  <c r="F50" i="7"/>
  <c r="G72" i="7"/>
  <c r="H72" i="7" s="1"/>
  <c r="G60" i="7"/>
  <c r="I60" i="7" s="1"/>
  <c r="G64" i="7"/>
  <c r="H64" i="7" s="1"/>
  <c r="G65" i="7"/>
  <c r="I65" i="7" s="1"/>
  <c r="G61" i="7"/>
  <c r="H61" i="7" s="1"/>
  <c r="E85" i="2"/>
  <c r="G63" i="2"/>
  <c r="I63" i="2" s="1"/>
  <c r="G72" i="2"/>
  <c r="H72" i="2" s="1"/>
  <c r="G70" i="2"/>
  <c r="I70" i="2" s="1"/>
  <c r="G60" i="2"/>
  <c r="H60" i="2" s="1"/>
  <c r="G64" i="2"/>
  <c r="H64" i="2" s="1"/>
  <c r="G80" i="7"/>
  <c r="H80" i="7" s="1"/>
  <c r="G86" i="7"/>
  <c r="I86" i="7" s="1"/>
  <c r="G55" i="2"/>
  <c r="H55" i="2" s="1"/>
  <c r="G53" i="2"/>
  <c r="H53" i="2" s="1"/>
  <c r="H73" i="7"/>
  <c r="G71" i="7"/>
  <c r="I71" i="7" s="1"/>
  <c r="G63" i="7"/>
  <c r="I63" i="7" s="1"/>
  <c r="G76" i="7"/>
  <c r="I52" i="2"/>
  <c r="H52" i="2"/>
  <c r="I64" i="2"/>
  <c r="H74" i="7"/>
  <c r="I74" i="7"/>
  <c r="H65" i="7"/>
  <c r="I61" i="7"/>
  <c r="G85" i="2"/>
  <c r="E87" i="2"/>
  <c r="H63" i="2"/>
  <c r="G58" i="2"/>
  <c r="D57" i="2"/>
  <c r="D62" i="2"/>
  <c r="G62" i="2" s="1"/>
  <c r="H78" i="7"/>
  <c r="I78" i="7"/>
  <c r="I65" i="2"/>
  <c r="G61" i="2"/>
  <c r="G54" i="2"/>
  <c r="G69" i="2"/>
  <c r="D71" i="2"/>
  <c r="E88" i="2"/>
  <c r="G88" i="2" s="1"/>
  <c r="E101" i="7"/>
  <c r="D88" i="7"/>
  <c r="H79" i="7"/>
  <c r="H77" i="7"/>
  <c r="H69" i="7"/>
  <c r="H70" i="7"/>
  <c r="I70" i="7"/>
  <c r="H62" i="7"/>
  <c r="I62" i="7"/>
  <c r="G75" i="7"/>
  <c r="I72" i="7"/>
  <c r="D81" i="7"/>
  <c r="G81" i="7" s="1"/>
  <c r="D85" i="7"/>
  <c r="G87" i="7"/>
  <c r="D86" i="7"/>
  <c r="G88" i="7"/>
  <c r="D72" i="2"/>
  <c r="D70" i="2"/>
  <c r="D69" i="2"/>
  <c r="D87" i="7"/>
  <c r="G85" i="7"/>
  <c r="D66" i="7"/>
  <c r="G66" i="7" s="1"/>
  <c r="G67" i="7"/>
  <c r="H56" i="2" l="1"/>
  <c r="H60" i="7"/>
  <c r="H71" i="2"/>
  <c r="I80" i="7"/>
  <c r="H70" i="2"/>
  <c r="I64" i="7"/>
  <c r="H63" i="7"/>
  <c r="I72" i="2"/>
  <c r="I53" i="2"/>
  <c r="I55" i="2"/>
  <c r="I60" i="2"/>
  <c r="H71" i="7"/>
  <c r="H86" i="7"/>
  <c r="H76" i="7"/>
  <c r="I76" i="7"/>
  <c r="H66" i="7"/>
  <c r="I66" i="7"/>
  <c r="H87" i="7"/>
  <c r="I87" i="7"/>
  <c r="G83" i="7"/>
  <c r="G87" i="2"/>
  <c r="F87" i="2"/>
  <c r="I85" i="7"/>
  <c r="H85" i="7"/>
  <c r="I67" i="7"/>
  <c r="H67" i="7"/>
  <c r="H62" i="2"/>
  <c r="I62" i="2"/>
  <c r="I69" i="2"/>
  <c r="H69" i="2"/>
  <c r="D59" i="2"/>
  <c r="G59" i="2" s="1"/>
  <c r="G57" i="2"/>
  <c r="I54" i="2"/>
  <c r="H54" i="2"/>
  <c r="I58" i="2"/>
  <c r="H58" i="2"/>
  <c r="H88" i="7"/>
  <c r="I88" i="7"/>
  <c r="I81" i="7"/>
  <c r="H81" i="7"/>
  <c r="H75" i="7"/>
  <c r="I75" i="7"/>
  <c r="G101" i="7"/>
  <c r="E103" i="7"/>
  <c r="I61" i="2"/>
  <c r="H61" i="2"/>
  <c r="I59" i="2" l="1"/>
  <c r="H59" i="2"/>
  <c r="G103" i="7"/>
  <c r="F103" i="7"/>
  <c r="H57" i="2"/>
  <c r="I57" i="2"/>
  <c r="G67" i="2"/>
  <c r="G90" i="7"/>
  <c r="H83" i="7"/>
  <c r="I83" i="7"/>
  <c r="H90" i="7" l="1"/>
  <c r="L91" i="7"/>
  <c r="G91" i="7" s="1"/>
  <c r="G92" i="7" s="1"/>
  <c r="I90" i="7"/>
  <c r="H67" i="2"/>
  <c r="I67" i="2"/>
  <c r="G74" i="2"/>
  <c r="H74" i="2" l="1"/>
  <c r="K73" i="2"/>
  <c r="G75" i="2" s="1"/>
  <c r="G76" i="2" s="1"/>
  <c r="I74" i="2"/>
  <c r="H92" i="7"/>
  <c r="I92" i="7"/>
  <c r="E99" i="7"/>
  <c r="E98" i="7"/>
  <c r="H91" i="7"/>
  <c r="I91" i="7"/>
  <c r="F99" i="7" l="1"/>
  <c r="G99" i="7"/>
  <c r="E82" i="2"/>
  <c r="E83" i="2"/>
  <c r="I76" i="2"/>
  <c r="H76" i="2"/>
  <c r="I75" i="2"/>
  <c r="H75" i="2"/>
  <c r="G98" i="7"/>
  <c r="E106" i="7"/>
  <c r="F98" i="7"/>
  <c r="G106" i="7" l="1"/>
  <c r="F106" i="7"/>
  <c r="F83" i="2"/>
  <c r="G83" i="2"/>
  <c r="F82" i="2"/>
  <c r="G82" i="2"/>
  <c r="E90" i="2"/>
  <c r="G90" i="2" l="1"/>
  <c r="F90" i="2"/>
</calcChain>
</file>

<file path=xl/sharedStrings.xml><?xml version="1.0" encoding="utf-8"?>
<sst xmlns="http://schemas.openxmlformats.org/spreadsheetml/2006/main" count="450" uniqueCount="165">
  <si>
    <t>FENCING COST ESTIMATOR</t>
  </si>
  <si>
    <t xml:space="preserve">  FENCING MATERIAL COST </t>
  </si>
  <si>
    <t xml:space="preserve"> Materials </t>
  </si>
  <si>
    <t>-</t>
  </si>
  <si>
    <t>Length</t>
  </si>
  <si>
    <t>Unit</t>
  </si>
  <si>
    <t>Cost $/Unit</t>
  </si>
  <si>
    <t>Feet</t>
  </si>
  <si>
    <t>Wire Length and Cost</t>
  </si>
  <si>
    <t xml:space="preserve"> ------</t>
  </si>
  <si>
    <t xml:space="preserve">  Barbed Wire</t>
  </si>
  <si>
    <t>Roll</t>
  </si>
  <si>
    <t xml:space="preserve">  Net Wire</t>
  </si>
  <si>
    <t xml:space="preserve">  Brace Smooth Wire</t>
  </si>
  <si>
    <t xml:space="preserve">  Electric Fence Wire</t>
  </si>
  <si>
    <t>Post Cost</t>
  </si>
  <si>
    <t xml:space="preserve">  Line Post</t>
  </si>
  <si>
    <t xml:space="preserve">   Wooden </t>
  </si>
  <si>
    <t>Post</t>
  </si>
  <si>
    <t>Brace Material</t>
  </si>
  <si>
    <t xml:space="preserve">  Deadman Cost</t>
  </si>
  <si>
    <t>Each</t>
  </si>
  <si>
    <t xml:space="preserve">  Brace Cross Member</t>
  </si>
  <si>
    <t xml:space="preserve">  Wire Twister</t>
  </si>
  <si>
    <t>Other Materials</t>
  </si>
  <si>
    <t xml:space="preserve">  Stays</t>
  </si>
  <si>
    <t xml:space="preserve">  Staples</t>
  </si>
  <si>
    <t>Lb.</t>
  </si>
  <si>
    <t xml:space="preserve">  Gates</t>
  </si>
  <si>
    <t>Gate</t>
  </si>
  <si>
    <t xml:space="preserve">  Water Gaps</t>
  </si>
  <si>
    <t>Gap</t>
  </si>
  <si>
    <t>Electrical Fence Materials</t>
  </si>
  <si>
    <t xml:space="preserve">  Ground Rod and Clamp</t>
  </si>
  <si>
    <t xml:space="preserve">  Lightening Arrestor</t>
  </si>
  <si>
    <t xml:space="preserve">  Energizer</t>
  </si>
  <si>
    <t xml:space="preserve">  Insulated Cable Cost</t>
  </si>
  <si>
    <t xml:space="preserve">  Insulator Cost</t>
  </si>
  <si>
    <t xml:space="preserve">  In-Line Stainer Total Cost</t>
  </si>
  <si>
    <t xml:space="preserve">  Cut-off Switch</t>
  </si>
  <si>
    <t xml:space="preserve">  Gate Handles</t>
  </si>
  <si>
    <t xml:space="preserve">  Flood Gate Controller</t>
  </si>
  <si>
    <t>Other Fencing Costs - Regular Fence</t>
  </si>
  <si>
    <t xml:space="preserve">  Vehicle and Transportation Costs</t>
  </si>
  <si>
    <t>$/Mile</t>
  </si>
  <si>
    <t xml:space="preserve">  Hired Labor and Management</t>
  </si>
  <si>
    <t>%</t>
  </si>
  <si>
    <t>REGULAR FENCE REQUIREMENTS</t>
  </si>
  <si>
    <t>Item</t>
  </si>
  <si>
    <t>Value</t>
  </si>
  <si>
    <t>-------</t>
  </si>
  <si>
    <t>Total Length Of Fence</t>
  </si>
  <si>
    <t>Acres of Land Involved</t>
  </si>
  <si>
    <t>Acres</t>
  </si>
  <si>
    <t>Line Post</t>
  </si>
  <si>
    <t xml:space="preserve"> Steel or Fiber Glass (1) or Wooden (2) </t>
  </si>
  <si>
    <t>1 or 2</t>
  </si>
  <si>
    <t xml:space="preserve"> Space Between Line Post</t>
  </si>
  <si>
    <t>Ft.</t>
  </si>
  <si>
    <t xml:space="preserve">  Space Between Wood Post </t>
  </si>
  <si>
    <t>Number of Stays Between Line Post</t>
  </si>
  <si>
    <t>No.</t>
  </si>
  <si>
    <t>Number of Wires In Fence</t>
  </si>
  <si>
    <t>Is Net Wire Used (0=no 1=yes)</t>
  </si>
  <si>
    <t>Other Fencing Materials</t>
  </si>
  <si>
    <t>$/Mi.</t>
  </si>
  <si>
    <t>Number of Water Gaps</t>
  </si>
  <si>
    <t>Total Number of End Braces and Gate Braces</t>
  </si>
  <si>
    <t>Useful Life of New Fence</t>
  </si>
  <si>
    <t>Yrs.</t>
  </si>
  <si>
    <t>Maximum Government Payment</t>
  </si>
  <si>
    <t>Dol.</t>
  </si>
  <si>
    <t>Annual Maintenance &amp; Operating Cost</t>
  </si>
  <si>
    <t>End</t>
  </si>
  <si>
    <t>Total</t>
  </si>
  <si>
    <t xml:space="preserve">  Materials</t>
  </si>
  <si>
    <t>Materials</t>
  </si>
  <si>
    <t>Brace</t>
  </si>
  <si>
    <t>Corner</t>
  </si>
  <si>
    <t xml:space="preserve">  Operator Labor and Management</t>
  </si>
  <si>
    <t xml:space="preserve">Brace Cross </t>
  </si>
  <si>
    <t>Wire (Ft.)</t>
  </si>
  <si>
    <t>REGULAR FENCE INVESTMENT COST</t>
  </si>
  <si>
    <t>Deadman</t>
  </si>
  <si>
    <t>Wire Twister</t>
  </si>
  <si>
    <t>Miles of Fence</t>
  </si>
  <si>
    <t>Staple/Wire</t>
  </si>
  <si>
    <t>Cost Of Brace</t>
  </si>
  <si>
    <t>Quantity</t>
  </si>
  <si>
    <t>$/Unit</t>
  </si>
  <si>
    <t>Cost/Mile</t>
  </si>
  <si>
    <t>Cost/Acre</t>
  </si>
  <si>
    <t>-----------</t>
  </si>
  <si>
    <t xml:space="preserve">  Post</t>
  </si>
  <si>
    <t xml:space="preserve">  Brace Cross </t>
  </si>
  <si>
    <t xml:space="preserve">  Brace Wire (Ft.)</t>
  </si>
  <si>
    <t xml:space="preserve">  Deadman</t>
  </si>
  <si>
    <t>Steel or Fiber Glass Line Post</t>
  </si>
  <si>
    <t>Wooden Line Post</t>
  </si>
  <si>
    <t>Wood post in steel fence</t>
  </si>
  <si>
    <t>Stays</t>
  </si>
  <si>
    <t>Barbed Wire</t>
  </si>
  <si>
    <t>Net Wire</t>
  </si>
  <si>
    <t>Staples</t>
  </si>
  <si>
    <t>Gates</t>
  </si>
  <si>
    <t>Water Gaps</t>
  </si>
  <si>
    <t>Total Materials Cost</t>
  </si>
  <si>
    <t>Vehicle and Transportation Costs</t>
  </si>
  <si>
    <t>Hired Labor and Management</t>
  </si>
  <si>
    <t>Total Investment Cost of New Fence</t>
  </si>
  <si>
    <t>Government Cost Share</t>
  </si>
  <si>
    <t>Total Investment Cost Less Cost Share of New Fence</t>
  </si>
  <si>
    <t>REGULAR FENCE ANNUAL COST</t>
  </si>
  <si>
    <t>Per Mile</t>
  </si>
  <si>
    <t>Per Acre</t>
  </si>
  <si>
    <t>Ownership or Fixed Costs</t>
  </si>
  <si>
    <t>Annual Maintenance</t>
  </si>
  <si>
    <t>Total Annual Costs</t>
  </si>
  <si>
    <t>ELECTRIC FENCE REQUIREMENTS</t>
  </si>
  <si>
    <t xml:space="preserve">  Insulated Cable </t>
  </si>
  <si>
    <t xml:space="preserve">  In-Line Stainer Total </t>
  </si>
  <si>
    <t>------------</t>
  </si>
  <si>
    <t xml:space="preserve">  Wire (Ft.)</t>
  </si>
  <si>
    <t xml:space="preserve">  Insulators</t>
  </si>
  <si>
    <t>ELECTRIC FENCE ANNUAL COST</t>
  </si>
  <si>
    <t>Date:</t>
  </si>
  <si>
    <t xml:space="preserve"> "H" Brace Post</t>
  </si>
  <si>
    <t>---------------</t>
  </si>
  <si>
    <t xml:space="preserve">Corner and "H" Brace </t>
  </si>
  <si>
    <t>"H"</t>
  </si>
  <si>
    <t>-----</t>
  </si>
  <si>
    <t>---------</t>
  </si>
  <si>
    <t>-------- Investment Cost --------</t>
  </si>
  <si>
    <t>Materials Required For Fence</t>
  </si>
  <si>
    <t>--------------------</t>
  </si>
  <si>
    <t>------------------</t>
  </si>
  <si>
    <t>Other Fencing Costs - Electric Fence</t>
  </si>
  <si>
    <t xml:space="preserve">  Machinery Cost for Clearing Right of Way</t>
  </si>
  <si>
    <t>Interest Rate on Operating Capital</t>
  </si>
  <si>
    <t xml:space="preserve"> If Steel or Fiber Glass Line Post</t>
  </si>
  <si>
    <t xml:space="preserve">   Steel or Fiber Glass &amp; Clips</t>
  </si>
  <si>
    <t>Brace Requirements--Regular Fence</t>
  </si>
  <si>
    <t>Brace Requirements--Electric Fence</t>
  </si>
  <si>
    <t>----------------</t>
  </si>
  <si>
    <t>-----------------</t>
  </si>
  <si>
    <t xml:space="preserve">  Depreciation</t>
  </si>
  <si>
    <t xml:space="preserve">  Interest</t>
  </si>
  <si>
    <t>Electric Fence Materials</t>
  </si>
  <si>
    <t>Interest Rate of Average Investment</t>
  </si>
  <si>
    <t>0 or 1</t>
  </si>
  <si>
    <t>Number of Gates</t>
  </si>
  <si>
    <t>Total Number of "H" Braces</t>
  </si>
  <si>
    <t>Total Number of Three-Post Corners</t>
  </si>
  <si>
    <t>Total Number of Five-Post Corners</t>
  </si>
  <si>
    <t>3-Post</t>
  </si>
  <si>
    <t>5-Post</t>
  </si>
  <si>
    <t>Operator Labor and Management</t>
  </si>
  <si>
    <t>Machinery for Clearing Right of Way</t>
  </si>
  <si>
    <t xml:space="preserve">  Interest on Operating Capital</t>
  </si>
  <si>
    <t>Total Length of Fence</t>
  </si>
  <si>
    <t>Government Cost Share - % of Total Inv. Cost</t>
  </si>
  <si>
    <t>ELECTRIC FENCE INVESTMENT COST</t>
  </si>
  <si>
    <t>Need to update materials cost</t>
  </si>
  <si>
    <t>Gov. Cost Share</t>
  </si>
  <si>
    <t>Vession 10-2-2014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</si>
</sst>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0.00_)"/>
    <numFmt numFmtId="165" formatCode="0_)"/>
    <numFmt numFmtId="166" formatCode="0,000_)"/>
    <numFmt numFmtId="167" formatCode="0.0_)"/>
    <numFmt numFmtId="168" formatCode=";;;"/>
    <numFmt numFmtId="169" formatCode="&quot;$&quot;#,##0"/>
    <numFmt numFmtId="170" formatCode="[$-409]d\-mmm\-yy;@"/>
  </numFmts>
  <fonts count="9">
    <font>
      <sz val="12"/>
      <name val="Arial"/>
    </font>
    <font>
      <b/>
      <sz val="12"/>
      <name val="Arial"/>
      <family val="2"/>
    </font>
    <font>
      <sz val="10"/>
      <color indexed="12"/>
      <name val="Courier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7" fontId="0" fillId="0" borderId="0" xfId="0" applyNumberFormat="1" applyProtection="1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fill"/>
    </xf>
    <xf numFmtId="7" fontId="2" fillId="0" borderId="0" xfId="0" applyNumberFormat="1" applyFont="1" applyProtection="1"/>
    <xf numFmtId="0" fontId="0" fillId="0" borderId="0" xfId="0" quotePrefix="1" applyAlignment="1" applyProtection="1">
      <alignment horizontal="left"/>
    </xf>
    <xf numFmtId="0" fontId="4" fillId="0" borderId="0" xfId="0" applyFont="1" applyProtection="1"/>
    <xf numFmtId="0" fontId="0" fillId="0" borderId="0" xfId="0" applyAlignment="1" applyProtection="1">
      <alignment horizontal="right"/>
    </xf>
    <xf numFmtId="3" fontId="3" fillId="0" borderId="1" xfId="0" applyNumberFormat="1" applyFont="1" applyBorder="1" applyProtection="1">
      <protection locked="0"/>
    </xf>
    <xf numFmtId="7" fontId="3" fillId="0" borderId="1" xfId="0" applyNumberFormat="1" applyFont="1" applyBorder="1" applyProtection="1">
      <protection locked="0"/>
    </xf>
    <xf numFmtId="0" fontId="0" fillId="0" borderId="0" xfId="0" quotePrefix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0" fillId="0" borderId="0" xfId="0" quotePrefix="1" applyProtection="1"/>
    <xf numFmtId="165" fontId="3" fillId="0" borderId="1" xfId="0" applyNumberFormat="1" applyFont="1" applyBorder="1" applyProtection="1">
      <protection locked="0"/>
    </xf>
    <xf numFmtId="166" fontId="3" fillId="0" borderId="1" xfId="0" applyNumberFormat="1" applyFont="1" applyBorder="1" applyProtection="1">
      <protection locked="0"/>
    </xf>
    <xf numFmtId="0" fontId="3" fillId="0" borderId="0" xfId="0" quotePrefix="1" applyFont="1" applyAlignment="1" applyProtection="1">
      <alignment horizontal="right"/>
    </xf>
    <xf numFmtId="165" fontId="4" fillId="0" borderId="0" xfId="0" applyNumberFormat="1" applyFont="1" applyProtection="1"/>
    <xf numFmtId="167" fontId="0" fillId="0" borderId="0" xfId="0" applyNumberFormat="1" applyProtection="1"/>
    <xf numFmtId="168" fontId="0" fillId="0" borderId="0" xfId="0" applyNumberFormat="1" applyProtection="1"/>
    <xf numFmtId="0" fontId="3" fillId="0" borderId="0" xfId="0" applyFont="1" applyBorder="1" applyProtection="1">
      <protection locked="0"/>
    </xf>
    <xf numFmtId="7" fontId="0" fillId="0" borderId="0" xfId="0" applyNumberFormat="1"/>
    <xf numFmtId="0" fontId="0" fillId="0" borderId="0" xfId="0" applyAlignment="1" applyProtection="1">
      <alignment horizontal="left"/>
    </xf>
    <xf numFmtId="169" fontId="3" fillId="0" borderId="1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70" fontId="8" fillId="0" borderId="1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/>
    <xf numFmtId="0" fontId="0" fillId="0" borderId="0" xfId="0" quotePrefix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dialogsheet" Target="dialogsheets/sheet3.xml"/><Relationship Id="rId11" Type="http://schemas.openxmlformats.org/officeDocument/2006/relationships/calcChain" Target="calcChain.xml"/><Relationship Id="rId5" Type="http://schemas.openxmlformats.org/officeDocument/2006/relationships/dialogsheet" Target="dialogsheets/sheet2.xml"/><Relationship Id="rId10" Type="http://schemas.openxmlformats.org/officeDocument/2006/relationships/sharedStrings" Target="sharedStrings.xml"/><Relationship Id="rId4" Type="http://schemas.openxmlformats.org/officeDocument/2006/relationships/dialogsheet" Target="dialogsheets/sheet1.xml"/><Relationship Id="rId9" Type="http://schemas.openxmlformats.org/officeDocument/2006/relationships/styles" Target="styles.xml"/></Relationships>
</file>

<file path=xl/dialog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dialog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765625" defaultRowHeight="5.25" customHeight="1"/>
  <sheetProtection sheet="1"/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dialogsheet>
</file>

<file path=xl/dialogsheets/sheet2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765625" defaultRowHeight="5.25" customHeight="1"/>
  <sheetProtection sheet="1"/>
  <pageMargins left="0.75" right="0.75" top="1" bottom="1" header="0.5" footer="0.5"/>
  <headerFooter alignWithMargins="0">
    <oddHeader>&amp;A</oddHeader>
    <oddFooter>Page &amp;P</oddFooter>
  </headerFooter>
  <legacyDrawing r:id="rId1"/>
</dialogsheet>
</file>

<file path=xl/dialogsheets/sheet3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765625" defaultRowHeight="5.25" customHeight="1"/>
  <sheetProtection sheet="1"/>
  <pageMargins left="0.75" right="0.75" top="1" bottom="1" header="0.5" footer="0.5"/>
  <headerFooter alignWithMargins="0">
    <oddHeader>&amp;A</oddHeader>
    <oddFooter>Page &amp;P</oddFooter>
  </headerFooter>
  <legacyDrawing r:id="rId1"/>
</dialog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641350</xdr:colOff>
      <xdr:row>1</xdr:row>
      <xdr:rowOff>76200</xdr:rowOff>
    </xdr:from>
    <xdr:to>
      <xdr:col>14</xdr:col>
      <xdr:colOff>38100</xdr:colOff>
      <xdr:row>5</xdr:row>
      <xdr:rowOff>19050</xdr:rowOff>
    </xdr:to>
    <xdr:pic>
      <xdr:nvPicPr>
        <xdr:cNvPr id="3" name="Picture 2" descr="TAMAg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304800"/>
          <a:ext cx="5492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58"/>
  <sheetViews>
    <sheetView showGridLines="0" tabSelected="1" topLeftCell="A19" zoomScaleNormal="100" workbookViewId="0">
      <selection activeCell="F55" sqref="F55"/>
    </sheetView>
  </sheetViews>
  <sheetFormatPr defaultRowHeight="15.5"/>
  <cols>
    <col min="2" max="2" width="25.765625" customWidth="1"/>
    <col min="3" max="3" width="7.84375" customWidth="1"/>
    <col min="4" max="6" width="10.765625" customWidth="1"/>
  </cols>
  <sheetData>
    <row r="1" spans="2:9" ht="18">
      <c r="B1" s="36" t="s">
        <v>0</v>
      </c>
      <c r="C1" s="36"/>
      <c r="D1" s="36"/>
      <c r="E1" s="36"/>
      <c r="F1" s="36"/>
    </row>
    <row r="2" spans="2:9" ht="30" customHeight="1">
      <c r="B2" s="38"/>
      <c r="C2" s="39"/>
      <c r="D2" s="39"/>
      <c r="E2" s="4"/>
      <c r="F2" s="4"/>
    </row>
    <row r="3" spans="2:9">
      <c r="C3" s="4"/>
      <c r="D3" s="4"/>
      <c r="E3" s="11" t="s">
        <v>125</v>
      </c>
      <c r="F3" s="35">
        <v>41913</v>
      </c>
    </row>
    <row r="4" spans="2:9">
      <c r="B4" s="30" t="s">
        <v>162</v>
      </c>
      <c r="C4" s="31"/>
      <c r="D4" s="32"/>
      <c r="E4" s="4"/>
      <c r="F4" s="4"/>
    </row>
    <row r="5" spans="2:9">
      <c r="B5" s="37" t="s">
        <v>1</v>
      </c>
      <c r="C5" s="37"/>
      <c r="D5" s="37"/>
      <c r="E5" s="37"/>
      <c r="F5" s="37"/>
    </row>
    <row r="6" spans="2:9">
      <c r="B6" s="4"/>
      <c r="C6" s="4"/>
      <c r="D6" s="4"/>
      <c r="E6" s="4"/>
      <c r="F6" s="4"/>
    </row>
    <row r="7" spans="2:9">
      <c r="B7" s="6" t="s">
        <v>2</v>
      </c>
      <c r="C7" s="4"/>
      <c r="D7" s="6" t="s">
        <v>4</v>
      </c>
      <c r="E7" s="6" t="s">
        <v>5</v>
      </c>
      <c r="F7" s="6" t="s">
        <v>6</v>
      </c>
      <c r="I7" s="16" t="s">
        <v>164</v>
      </c>
    </row>
    <row r="8" spans="2:9" ht="30" customHeight="1">
      <c r="B8" s="7" t="s">
        <v>3</v>
      </c>
      <c r="C8" s="4"/>
      <c r="D8" s="6" t="s">
        <v>7</v>
      </c>
      <c r="E8" s="4"/>
      <c r="F8" s="4"/>
    </row>
    <row r="9" spans="2:9">
      <c r="B9" s="4" t="s">
        <v>8</v>
      </c>
      <c r="C9" s="4"/>
      <c r="D9" s="7" t="s">
        <v>3</v>
      </c>
      <c r="E9" s="6" t="s">
        <v>9</v>
      </c>
      <c r="F9" s="7" t="s">
        <v>3</v>
      </c>
    </row>
    <row r="10" spans="2:9">
      <c r="B10" s="4" t="s">
        <v>10</v>
      </c>
      <c r="C10" s="4"/>
      <c r="D10" s="21">
        <v>1320</v>
      </c>
      <c r="E10" s="6" t="s">
        <v>11</v>
      </c>
      <c r="F10" s="13">
        <v>28.5</v>
      </c>
    </row>
    <row r="11" spans="2:9">
      <c r="B11" s="4" t="s">
        <v>12</v>
      </c>
      <c r="C11" s="4"/>
      <c r="D11" s="20">
        <v>100</v>
      </c>
      <c r="E11" s="6" t="s">
        <v>11</v>
      </c>
      <c r="F11" s="13">
        <v>65</v>
      </c>
    </row>
    <row r="12" spans="2:9">
      <c r="B12" s="4" t="s">
        <v>13</v>
      </c>
      <c r="C12" s="4"/>
      <c r="D12" s="21">
        <v>2600</v>
      </c>
      <c r="E12" s="6" t="s">
        <v>11</v>
      </c>
      <c r="F12" s="13">
        <v>27</v>
      </c>
      <c r="H12" s="25">
        <f>F12/D12</f>
        <v>1.0384615384615384E-2</v>
      </c>
      <c r="I12" s="27"/>
    </row>
    <row r="13" spans="2:9">
      <c r="B13" s="4" t="s">
        <v>14</v>
      </c>
      <c r="C13" s="4"/>
      <c r="D13" s="21">
        <v>1320</v>
      </c>
      <c r="E13" s="6" t="s">
        <v>11</v>
      </c>
      <c r="F13" s="13">
        <v>10</v>
      </c>
    </row>
    <row r="14" spans="2:9">
      <c r="B14" s="4"/>
      <c r="C14" s="4"/>
      <c r="D14" s="4"/>
      <c r="E14" s="4"/>
      <c r="F14" s="1"/>
    </row>
    <row r="15" spans="2:9">
      <c r="B15" s="4" t="s">
        <v>15</v>
      </c>
      <c r="C15" s="4"/>
      <c r="D15" s="4"/>
      <c r="E15" s="4"/>
      <c r="F15" s="1"/>
    </row>
    <row r="16" spans="2:9">
      <c r="B16" s="4" t="s">
        <v>16</v>
      </c>
      <c r="C16" s="4"/>
      <c r="D16" s="4"/>
      <c r="E16" s="4"/>
      <c r="F16" s="8"/>
    </row>
    <row r="17" spans="2:6">
      <c r="B17" s="4" t="s">
        <v>17</v>
      </c>
      <c r="C17" s="4"/>
      <c r="D17" s="4"/>
      <c r="E17" s="6" t="s">
        <v>18</v>
      </c>
      <c r="F17" s="13">
        <v>2.2000000000000002</v>
      </c>
    </row>
    <row r="18" spans="2:6">
      <c r="B18" s="4" t="s">
        <v>140</v>
      </c>
      <c r="C18" s="4"/>
      <c r="D18" s="4"/>
      <c r="E18" s="6" t="s">
        <v>18</v>
      </c>
      <c r="F18" s="13">
        <v>2.2000000000000002</v>
      </c>
    </row>
    <row r="19" spans="2:6">
      <c r="B19" s="4" t="s">
        <v>126</v>
      </c>
      <c r="C19" s="4"/>
      <c r="D19" s="4"/>
      <c r="E19" s="6" t="s">
        <v>18</v>
      </c>
      <c r="F19" s="13">
        <v>8.25</v>
      </c>
    </row>
    <row r="20" spans="2:6">
      <c r="B20" s="4"/>
      <c r="C20" s="4"/>
      <c r="D20" s="4"/>
      <c r="E20" s="4"/>
      <c r="F20" s="4"/>
    </row>
    <row r="21" spans="2:6">
      <c r="B21" s="4" t="s">
        <v>19</v>
      </c>
      <c r="C21" s="4"/>
      <c r="D21" s="4"/>
      <c r="E21" s="4"/>
      <c r="F21" s="4"/>
    </row>
    <row r="22" spans="2:6">
      <c r="B22" s="4" t="s">
        <v>20</v>
      </c>
      <c r="C22" s="4"/>
      <c r="D22" s="4"/>
      <c r="E22" s="6" t="s">
        <v>21</v>
      </c>
      <c r="F22" s="13">
        <v>0</v>
      </c>
    </row>
    <row r="23" spans="2:6">
      <c r="B23" s="9" t="s">
        <v>22</v>
      </c>
      <c r="C23" s="4"/>
      <c r="D23" s="4"/>
      <c r="E23" s="6" t="s">
        <v>21</v>
      </c>
      <c r="F23" s="13">
        <v>18</v>
      </c>
    </row>
    <row r="24" spans="2:6">
      <c r="B24" s="4" t="s">
        <v>23</v>
      </c>
      <c r="C24" s="4"/>
      <c r="D24" s="4"/>
      <c r="E24" s="6" t="s">
        <v>21</v>
      </c>
      <c r="F24" s="13">
        <v>0.5</v>
      </c>
    </row>
    <row r="25" spans="2:6">
      <c r="B25" s="4"/>
      <c r="C25" s="4"/>
      <c r="D25" s="4"/>
      <c r="E25" s="4"/>
      <c r="F25" s="10"/>
    </row>
    <row r="26" spans="2:6">
      <c r="B26" s="4" t="s">
        <v>24</v>
      </c>
      <c r="C26" s="4"/>
      <c r="D26" s="4"/>
      <c r="E26" s="4"/>
      <c r="F26" s="10"/>
    </row>
    <row r="27" spans="2:6">
      <c r="B27" s="4" t="s">
        <v>25</v>
      </c>
      <c r="C27" s="4"/>
      <c r="D27" s="4"/>
      <c r="E27" s="6" t="s">
        <v>21</v>
      </c>
      <c r="F27" s="13">
        <v>0.2</v>
      </c>
    </row>
    <row r="28" spans="2:6">
      <c r="B28" s="4" t="s">
        <v>26</v>
      </c>
      <c r="C28" s="4"/>
      <c r="D28" s="4"/>
      <c r="E28" s="6" t="s">
        <v>27</v>
      </c>
      <c r="F28" s="13">
        <v>0.6</v>
      </c>
    </row>
    <row r="29" spans="2:6">
      <c r="B29" s="4" t="s">
        <v>28</v>
      </c>
      <c r="C29" s="4"/>
      <c r="D29" s="4"/>
      <c r="E29" s="6" t="s">
        <v>29</v>
      </c>
      <c r="F29" s="13">
        <v>45</v>
      </c>
    </row>
    <row r="30" spans="2:6">
      <c r="B30" s="4" t="s">
        <v>30</v>
      </c>
      <c r="C30" s="4"/>
      <c r="D30" s="4"/>
      <c r="E30" s="6" t="s">
        <v>31</v>
      </c>
      <c r="F30" s="13">
        <v>50</v>
      </c>
    </row>
    <row r="31" spans="2:6">
      <c r="B31" s="4"/>
      <c r="C31" s="4"/>
      <c r="D31" s="4"/>
      <c r="E31" s="4"/>
      <c r="F31" s="10"/>
    </row>
    <row r="32" spans="2:6">
      <c r="B32" s="4" t="s">
        <v>147</v>
      </c>
      <c r="C32" s="4"/>
      <c r="D32" s="4"/>
      <c r="E32" s="4"/>
      <c r="F32" s="10"/>
    </row>
    <row r="33" spans="2:6">
      <c r="B33" s="4" t="s">
        <v>33</v>
      </c>
      <c r="C33" s="4"/>
      <c r="D33" s="4"/>
      <c r="E33" s="6" t="s">
        <v>21</v>
      </c>
      <c r="F33" s="13">
        <v>9</v>
      </c>
    </row>
    <row r="34" spans="2:6">
      <c r="B34" s="4" t="s">
        <v>34</v>
      </c>
      <c r="C34" s="4"/>
      <c r="D34" s="4"/>
      <c r="E34" s="6" t="s">
        <v>21</v>
      </c>
      <c r="F34" s="13">
        <v>5</v>
      </c>
    </row>
    <row r="35" spans="2:6">
      <c r="B35" s="4" t="s">
        <v>35</v>
      </c>
      <c r="C35" s="4"/>
      <c r="D35" s="4"/>
      <c r="E35" s="6" t="s">
        <v>21</v>
      </c>
      <c r="F35" s="13">
        <v>250</v>
      </c>
    </row>
    <row r="36" spans="2:6">
      <c r="B36" s="4" t="s">
        <v>36</v>
      </c>
      <c r="C36" s="4"/>
      <c r="D36" s="4"/>
      <c r="E36" s="6" t="s">
        <v>21</v>
      </c>
      <c r="F36" s="13">
        <v>55</v>
      </c>
    </row>
    <row r="37" spans="2:6">
      <c r="B37" s="4" t="s">
        <v>37</v>
      </c>
      <c r="C37" s="4"/>
      <c r="D37" s="4"/>
      <c r="E37" s="6" t="s">
        <v>21</v>
      </c>
      <c r="F37" s="13">
        <v>0.2</v>
      </c>
    </row>
    <row r="38" spans="2:6">
      <c r="B38" s="4" t="s">
        <v>38</v>
      </c>
      <c r="C38" s="4"/>
      <c r="D38" s="4"/>
      <c r="E38" s="6" t="s">
        <v>21</v>
      </c>
      <c r="F38" s="13">
        <v>32</v>
      </c>
    </row>
    <row r="39" spans="2:6">
      <c r="B39" s="4" t="s">
        <v>39</v>
      </c>
      <c r="C39" s="4"/>
      <c r="D39" s="4"/>
      <c r="E39" s="6" t="s">
        <v>21</v>
      </c>
      <c r="F39" s="13">
        <v>3.25</v>
      </c>
    </row>
    <row r="40" spans="2:6">
      <c r="B40" s="4" t="s">
        <v>40</v>
      </c>
      <c r="C40" s="4"/>
      <c r="D40" s="4"/>
      <c r="E40" s="6" t="s">
        <v>21</v>
      </c>
      <c r="F40" s="13">
        <v>2.75</v>
      </c>
    </row>
    <row r="41" spans="2:6">
      <c r="B41" s="4" t="s">
        <v>41</v>
      </c>
      <c r="C41" s="4"/>
      <c r="D41" s="4"/>
      <c r="E41" s="6" t="s">
        <v>21</v>
      </c>
      <c r="F41" s="13">
        <v>20</v>
      </c>
    </row>
    <row r="42" spans="2:6">
      <c r="B42" s="4"/>
      <c r="C42" s="4"/>
      <c r="D42" s="4"/>
      <c r="E42" s="4"/>
      <c r="F42" s="10"/>
    </row>
    <row r="43" spans="2:6">
      <c r="B43" s="4" t="s">
        <v>42</v>
      </c>
      <c r="C43" s="4"/>
      <c r="D43" s="4"/>
      <c r="E43" s="4"/>
      <c r="F43" s="10"/>
    </row>
    <row r="44" spans="2:6">
      <c r="B44" s="4" t="s">
        <v>43</v>
      </c>
      <c r="C44" s="4"/>
      <c r="D44" s="4"/>
      <c r="E44" s="6" t="s">
        <v>44</v>
      </c>
      <c r="F44" s="13">
        <v>150</v>
      </c>
    </row>
    <row r="45" spans="2:6">
      <c r="B45" s="4" t="s">
        <v>45</v>
      </c>
      <c r="C45" s="4"/>
      <c r="D45" s="4"/>
      <c r="E45" s="6" t="s">
        <v>44</v>
      </c>
      <c r="F45" s="13">
        <v>1000</v>
      </c>
    </row>
    <row r="46" spans="2:6">
      <c r="B46" s="4" t="s">
        <v>79</v>
      </c>
      <c r="C46" s="4"/>
      <c r="D46" s="4"/>
      <c r="E46" s="6" t="s">
        <v>44</v>
      </c>
      <c r="F46" s="13">
        <v>500</v>
      </c>
    </row>
    <row r="47" spans="2:6">
      <c r="B47" s="4" t="s">
        <v>137</v>
      </c>
      <c r="C47" s="4"/>
      <c r="D47" s="4"/>
      <c r="E47" s="6" t="s">
        <v>44</v>
      </c>
      <c r="F47" s="13">
        <v>100</v>
      </c>
    </row>
    <row r="48" spans="2:6">
      <c r="B48" s="4"/>
      <c r="C48" s="4"/>
      <c r="D48" s="4"/>
      <c r="E48" s="4"/>
      <c r="F48" s="10"/>
    </row>
    <row r="49" spans="2:6">
      <c r="B49" s="4" t="s">
        <v>136</v>
      </c>
      <c r="C49" s="4"/>
      <c r="D49" s="4"/>
      <c r="E49" s="4"/>
      <c r="F49" s="10"/>
    </row>
    <row r="50" spans="2:6">
      <c r="B50" s="4" t="s">
        <v>43</v>
      </c>
      <c r="C50" s="4"/>
      <c r="D50" s="4"/>
      <c r="E50" s="6" t="s">
        <v>44</v>
      </c>
      <c r="F50" s="13">
        <v>1</v>
      </c>
    </row>
    <row r="51" spans="2:6">
      <c r="B51" s="4" t="s">
        <v>45</v>
      </c>
      <c r="C51" s="4"/>
      <c r="D51" s="4"/>
      <c r="E51" s="6" t="s">
        <v>44</v>
      </c>
      <c r="F51" s="13">
        <v>175</v>
      </c>
    </row>
    <row r="52" spans="2:6">
      <c r="B52" s="4" t="s">
        <v>79</v>
      </c>
      <c r="C52" s="4"/>
      <c r="D52" s="4"/>
      <c r="E52" s="6" t="s">
        <v>44</v>
      </c>
      <c r="F52" s="13">
        <v>200</v>
      </c>
    </row>
    <row r="53" spans="2:6">
      <c r="B53" s="4" t="s">
        <v>137</v>
      </c>
      <c r="C53" s="4"/>
      <c r="D53" s="4"/>
      <c r="E53" s="6" t="s">
        <v>44</v>
      </c>
      <c r="F53" s="13">
        <v>0</v>
      </c>
    </row>
    <row r="54" spans="2:6">
      <c r="B54" s="4"/>
      <c r="C54" s="4"/>
      <c r="D54" s="4"/>
      <c r="E54" s="4"/>
      <c r="F54" s="10"/>
    </row>
    <row r="55" spans="2:6">
      <c r="B55" s="4" t="s">
        <v>148</v>
      </c>
      <c r="C55" s="4"/>
      <c r="D55" s="4"/>
      <c r="E55" s="6" t="s">
        <v>46</v>
      </c>
      <c r="F55" s="20">
        <v>5</v>
      </c>
    </row>
    <row r="56" spans="2:6">
      <c r="B56" s="4" t="s">
        <v>138</v>
      </c>
      <c r="C56" s="4"/>
      <c r="D56" s="4"/>
      <c r="E56" s="6" t="s">
        <v>46</v>
      </c>
      <c r="F56" s="20">
        <v>6</v>
      </c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</sheetData>
  <sheetProtection sheet="1" objects="1" scenarios="1"/>
  <mergeCells count="3">
    <mergeCell ref="B1:F1"/>
    <mergeCell ref="B5:F5"/>
    <mergeCell ref="B2:D2"/>
  </mergeCells>
  <phoneticPr fontId="0" type="noConversion"/>
  <printOptions horizontalCentered="1"/>
  <pageMargins left="0.5" right="0.5" top="0.5" bottom="1" header="0.5" footer="0.5"/>
  <pageSetup scale="80" orientation="portrait" horizontalDpi="300" verticalDpi="300" r:id="rId1"/>
  <headerFooter alignWithMargins="0">
    <oddFooter>&amp;L &amp;F&amp;R&amp;10&amp;A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"/>
  <dimension ref="B1:M90"/>
  <sheetViews>
    <sheetView showGridLines="0" defaultGridColor="0" topLeftCell="A55" colorId="22" zoomScaleNormal="100" workbookViewId="0">
      <selection activeCell="L73" sqref="L73"/>
    </sheetView>
  </sheetViews>
  <sheetFormatPr defaultColWidth="9.765625" defaultRowHeight="15.5"/>
  <cols>
    <col min="1" max="1" width="9.765625" style="4"/>
    <col min="2" max="2" width="20.765625" style="4" customWidth="1"/>
    <col min="3" max="3" width="7.84375" style="4" customWidth="1"/>
    <col min="4" max="4" width="9.69140625" style="4" customWidth="1"/>
    <col min="5" max="5" width="10.765625" style="4" customWidth="1"/>
    <col min="6" max="6" width="9.23046875" style="4" customWidth="1"/>
    <col min="7" max="8" width="10.765625" style="4" customWidth="1"/>
    <col min="9" max="9" width="9.4609375" style="4" customWidth="1"/>
    <col min="10" max="12" width="10.765625" style="4" customWidth="1"/>
    <col min="13" max="13" width="12.765625" style="4" customWidth="1"/>
    <col min="14" max="16384" width="9.765625" style="4"/>
  </cols>
  <sheetData>
    <row r="1" spans="2:13">
      <c r="B1" s="37" t="s">
        <v>47</v>
      </c>
      <c r="C1" s="37"/>
      <c r="D1" s="37"/>
      <c r="E1" s="37"/>
      <c r="F1" s="37"/>
    </row>
    <row r="2" spans="2:13">
      <c r="B2" s="17"/>
      <c r="C2" s="17"/>
      <c r="D2" s="17"/>
      <c r="E2" s="17"/>
      <c r="F2" s="17"/>
    </row>
    <row r="3" spans="2:13">
      <c r="B3" s="6" t="s">
        <v>48</v>
      </c>
      <c r="E3" s="6" t="s">
        <v>5</v>
      </c>
      <c r="F3" s="6" t="s">
        <v>49</v>
      </c>
    </row>
    <row r="4" spans="2:13">
      <c r="B4" s="7" t="s">
        <v>3</v>
      </c>
      <c r="E4" s="18" t="s">
        <v>50</v>
      </c>
      <c r="F4" s="18" t="s">
        <v>127</v>
      </c>
    </row>
    <row r="5" spans="2:13">
      <c r="B5" s="4" t="s">
        <v>51</v>
      </c>
      <c r="E5" s="6" t="s">
        <v>7</v>
      </c>
      <c r="F5" s="21">
        <v>10560</v>
      </c>
    </row>
    <row r="6" spans="2:13">
      <c r="B6" s="4" t="s">
        <v>52</v>
      </c>
      <c r="E6" s="6" t="s">
        <v>53</v>
      </c>
      <c r="F6" s="20">
        <v>640</v>
      </c>
      <c r="M6" s="2"/>
    </row>
    <row r="7" spans="2:13">
      <c r="B7" s="4" t="s">
        <v>54</v>
      </c>
      <c r="E7" s="6"/>
      <c r="F7" s="10"/>
      <c r="M7" s="2"/>
    </row>
    <row r="8" spans="2:13">
      <c r="B8" s="4" t="s">
        <v>55</v>
      </c>
      <c r="E8" s="6" t="s">
        <v>56</v>
      </c>
      <c r="F8" s="20">
        <v>1</v>
      </c>
      <c r="M8" s="2"/>
    </row>
    <row r="9" spans="2:13">
      <c r="B9" s="4" t="s">
        <v>57</v>
      </c>
      <c r="E9" s="6" t="s">
        <v>58</v>
      </c>
      <c r="F9" s="20">
        <v>20</v>
      </c>
      <c r="M9" s="2"/>
    </row>
    <row r="10" spans="2:13">
      <c r="B10" s="4" t="s">
        <v>139</v>
      </c>
      <c r="E10" s="6"/>
      <c r="F10" s="22" t="s">
        <v>130</v>
      </c>
      <c r="M10" s="2"/>
    </row>
    <row r="11" spans="2:13">
      <c r="B11" s="4" t="s">
        <v>59</v>
      </c>
      <c r="E11" s="6" t="s">
        <v>58</v>
      </c>
      <c r="F11" s="20">
        <v>0</v>
      </c>
    </row>
    <row r="12" spans="2:13">
      <c r="B12" s="4" t="s">
        <v>60</v>
      </c>
      <c r="E12" s="6" t="s">
        <v>61</v>
      </c>
      <c r="F12" s="20">
        <v>1</v>
      </c>
      <c r="M12" s="2"/>
    </row>
    <row r="13" spans="2:13">
      <c r="B13" s="4" t="s">
        <v>62</v>
      </c>
      <c r="E13" s="6" t="s">
        <v>61</v>
      </c>
      <c r="F13" s="20">
        <v>5</v>
      </c>
      <c r="M13" s="2"/>
    </row>
    <row r="14" spans="2:13">
      <c r="B14" s="4" t="s">
        <v>63</v>
      </c>
      <c r="E14" s="18" t="s">
        <v>149</v>
      </c>
      <c r="F14" s="20">
        <v>0</v>
      </c>
      <c r="M14" s="2"/>
    </row>
    <row r="15" spans="2:13">
      <c r="B15" s="4" t="s">
        <v>64</v>
      </c>
      <c r="E15" s="6" t="s">
        <v>65</v>
      </c>
      <c r="F15" s="20">
        <v>50</v>
      </c>
    </row>
    <row r="16" spans="2:13">
      <c r="B16" s="4" t="s">
        <v>150</v>
      </c>
      <c r="E16" s="6" t="s">
        <v>61</v>
      </c>
      <c r="F16" s="20">
        <v>4</v>
      </c>
    </row>
    <row r="17" spans="2:7">
      <c r="B17" s="4" t="s">
        <v>66</v>
      </c>
      <c r="E17" s="6" t="s">
        <v>61</v>
      </c>
      <c r="F17" s="20">
        <v>1</v>
      </c>
    </row>
    <row r="18" spans="2:7">
      <c r="B18" s="4" t="s">
        <v>151</v>
      </c>
      <c r="E18" s="6" t="s">
        <v>61</v>
      </c>
      <c r="F18" s="20">
        <v>4</v>
      </c>
    </row>
    <row r="19" spans="2:7">
      <c r="B19" s="4" t="s">
        <v>67</v>
      </c>
      <c r="E19" s="6" t="s">
        <v>61</v>
      </c>
      <c r="F19" s="20">
        <v>8</v>
      </c>
    </row>
    <row r="20" spans="2:7">
      <c r="B20" s="4" t="s">
        <v>152</v>
      </c>
      <c r="E20" s="6" t="s">
        <v>61</v>
      </c>
      <c r="F20" s="20">
        <v>0</v>
      </c>
    </row>
    <row r="21" spans="2:7">
      <c r="B21" s="4" t="s">
        <v>153</v>
      </c>
      <c r="E21" s="6" t="s">
        <v>61</v>
      </c>
      <c r="F21" s="20">
        <v>1</v>
      </c>
    </row>
    <row r="22" spans="2:7">
      <c r="B22" s="4" t="s">
        <v>68</v>
      </c>
      <c r="E22" s="6" t="s">
        <v>69</v>
      </c>
      <c r="F22" s="20">
        <v>20</v>
      </c>
    </row>
    <row r="23" spans="2:7">
      <c r="B23" s="4" t="s">
        <v>160</v>
      </c>
      <c r="E23" s="6" t="s">
        <v>46</v>
      </c>
      <c r="F23" s="20">
        <v>0</v>
      </c>
    </row>
    <row r="24" spans="2:7">
      <c r="B24" s="4" t="s">
        <v>70</v>
      </c>
      <c r="E24" s="6" t="s">
        <v>71</v>
      </c>
      <c r="F24" s="12">
        <v>0</v>
      </c>
    </row>
    <row r="25" spans="2:7">
      <c r="B25" s="4" t="s">
        <v>72</v>
      </c>
      <c r="E25" s="6"/>
      <c r="F25" s="10"/>
    </row>
    <row r="26" spans="2:7">
      <c r="B26" s="4" t="s">
        <v>75</v>
      </c>
      <c r="E26" s="6" t="s">
        <v>44</v>
      </c>
      <c r="F26" s="20">
        <v>100</v>
      </c>
    </row>
    <row r="27" spans="2:7">
      <c r="B27" s="4" t="s">
        <v>45</v>
      </c>
      <c r="E27" s="6" t="s">
        <v>44</v>
      </c>
      <c r="F27" s="20">
        <v>75</v>
      </c>
    </row>
    <row r="28" spans="2:7">
      <c r="B28" s="4" t="s">
        <v>79</v>
      </c>
      <c r="E28" s="6" t="s">
        <v>44</v>
      </c>
      <c r="F28" s="20">
        <v>50</v>
      </c>
    </row>
    <row r="31" spans="2:7">
      <c r="B31" s="5" t="s">
        <v>141</v>
      </c>
    </row>
    <row r="32" spans="2:7">
      <c r="C32" s="11" t="s">
        <v>129</v>
      </c>
      <c r="D32" s="11" t="s">
        <v>73</v>
      </c>
      <c r="E32" s="14" t="s">
        <v>154</v>
      </c>
      <c r="F32" s="14" t="s">
        <v>155</v>
      </c>
      <c r="G32" s="11" t="s">
        <v>74</v>
      </c>
    </row>
    <row r="33" spans="2:9">
      <c r="B33" s="4" t="s">
        <v>76</v>
      </c>
      <c r="C33" s="11" t="s">
        <v>77</v>
      </c>
      <c r="D33" s="11" t="s">
        <v>77</v>
      </c>
      <c r="E33" s="11" t="s">
        <v>78</v>
      </c>
      <c r="F33" s="11" t="s">
        <v>78</v>
      </c>
      <c r="G33" s="11"/>
    </row>
    <row r="34" spans="2:9">
      <c r="B34" s="19" t="s">
        <v>135</v>
      </c>
      <c r="C34" s="11" t="s">
        <v>121</v>
      </c>
      <c r="D34" s="11" t="s">
        <v>121</v>
      </c>
      <c r="E34" s="11" t="s">
        <v>121</v>
      </c>
      <c r="F34" s="11" t="s">
        <v>121</v>
      </c>
      <c r="G34" s="11" t="s">
        <v>121</v>
      </c>
    </row>
    <row r="35" spans="2:9">
      <c r="B35" s="4" t="s">
        <v>18</v>
      </c>
      <c r="C35" s="20">
        <v>2</v>
      </c>
      <c r="D35" s="20">
        <v>2</v>
      </c>
      <c r="E35" s="20">
        <v>3</v>
      </c>
      <c r="F35" s="20">
        <v>5</v>
      </c>
      <c r="G35" s="3">
        <f t="shared" ref="G35:G40" si="0">(D35*$F$19+E35*$F$20+C35*$F$18+F35*$F$21)</f>
        <v>29</v>
      </c>
    </row>
    <row r="36" spans="2:9">
      <c r="B36" s="4" t="s">
        <v>80</v>
      </c>
      <c r="C36" s="20">
        <v>1</v>
      </c>
      <c r="D36" s="20">
        <v>1</v>
      </c>
      <c r="E36" s="20">
        <v>2</v>
      </c>
      <c r="F36" s="20">
        <v>4</v>
      </c>
      <c r="G36" s="3">
        <f t="shared" si="0"/>
        <v>16</v>
      </c>
    </row>
    <row r="37" spans="2:9">
      <c r="B37" s="4" t="s">
        <v>81</v>
      </c>
      <c r="C37" s="20">
        <v>80</v>
      </c>
      <c r="D37" s="20">
        <v>50</v>
      </c>
      <c r="E37" s="20">
        <v>100</v>
      </c>
      <c r="F37" s="20">
        <v>320</v>
      </c>
      <c r="G37" s="3">
        <f t="shared" si="0"/>
        <v>1040</v>
      </c>
    </row>
    <row r="38" spans="2:9">
      <c r="B38" s="4" t="s">
        <v>83</v>
      </c>
      <c r="C38" s="20">
        <v>1</v>
      </c>
      <c r="D38" s="20">
        <v>1</v>
      </c>
      <c r="E38" s="20">
        <v>2</v>
      </c>
      <c r="F38" s="20">
        <v>4</v>
      </c>
      <c r="G38" s="3">
        <f t="shared" si="0"/>
        <v>16</v>
      </c>
    </row>
    <row r="39" spans="2:9">
      <c r="B39" s="4" t="s">
        <v>84</v>
      </c>
      <c r="C39" s="20">
        <v>2</v>
      </c>
      <c r="D39" s="20">
        <v>1</v>
      </c>
      <c r="E39" s="20">
        <v>2</v>
      </c>
      <c r="F39" s="20">
        <v>4</v>
      </c>
      <c r="G39" s="3">
        <f t="shared" si="0"/>
        <v>20</v>
      </c>
    </row>
    <row r="40" spans="2:9">
      <c r="B40" s="4" t="s">
        <v>86</v>
      </c>
      <c r="C40" s="20">
        <v>2</v>
      </c>
      <c r="D40" s="20">
        <v>2</v>
      </c>
      <c r="E40" s="20">
        <v>3</v>
      </c>
      <c r="F40" s="20">
        <v>5</v>
      </c>
      <c r="G40" s="3">
        <f t="shared" si="0"/>
        <v>29</v>
      </c>
    </row>
    <row r="41" spans="2:9">
      <c r="C41" s="11" t="s">
        <v>121</v>
      </c>
      <c r="D41" s="11" t="s">
        <v>121</v>
      </c>
      <c r="E41" s="11" t="s">
        <v>121</v>
      </c>
      <c r="F41" s="11" t="s">
        <v>121</v>
      </c>
      <c r="G41" s="11" t="s">
        <v>121</v>
      </c>
    </row>
    <row r="42" spans="2:9">
      <c r="B42" s="4" t="s">
        <v>87</v>
      </c>
      <c r="C42" s="1">
        <f>(C35*'1. MaterialCost'!$F17+C36*'1. MaterialCost'!$F19+C37*'1. MaterialCost'!H12+C38*'1. MaterialCost'!$F22+C39*'1. MaterialCost'!$F24+C40*'1. MaterialCost'!$F$28/72)</f>
        <v>14.497435897435899</v>
      </c>
      <c r="D42" s="1">
        <f>(D35*'1. MaterialCost'!$F17+D36*'1. MaterialCost'!$F19+D37*'1. MaterialCost'!$H12+D38*'1. MaterialCost'!$F22+D39*'1. MaterialCost'!$F24+D40*'1. MaterialCost'!$F$28/72)</f>
        <v>13.685897435897438</v>
      </c>
      <c r="E42" s="1">
        <f>(E35*'1. MaterialCost'!$F17+E36*'1. MaterialCost'!$F19+E37*'1. MaterialCost'!$H12+E38*'1. MaterialCost'!$F22+E39*'1. MaterialCost'!$F24+E40*'1. MaterialCost'!$F$28/72)</f>
        <v>25.16346153846154</v>
      </c>
      <c r="F42" s="1">
        <f>(F35*'1. MaterialCost'!$F17+F36*'1. MaterialCost'!$F19+F37*'1. MaterialCost'!H12+F38*'1. MaterialCost'!$F22+F39*'1. MaterialCost'!$F24+F40*'1. MaterialCost'!$F$28/72)</f>
        <v>49.36474358974359</v>
      </c>
      <c r="G42" s="2"/>
    </row>
    <row r="45" spans="2:9">
      <c r="B45" s="37" t="s">
        <v>82</v>
      </c>
      <c r="C45" s="37"/>
      <c r="D45" s="37"/>
      <c r="E45" s="37"/>
      <c r="F45" s="37"/>
      <c r="G45" s="37"/>
      <c r="H45" s="37"/>
      <c r="I45" s="37"/>
    </row>
    <row r="47" spans="2:9">
      <c r="B47" s="4" t="s">
        <v>85</v>
      </c>
      <c r="D47" s="2">
        <f>(F5/5280)</f>
        <v>2</v>
      </c>
    </row>
    <row r="49" spans="2:12">
      <c r="B49" s="28" t="s">
        <v>133</v>
      </c>
      <c r="G49" s="40" t="s">
        <v>132</v>
      </c>
      <c r="H49" s="40"/>
    </row>
    <row r="50" spans="2:12">
      <c r="B50" s="7" t="s">
        <v>3</v>
      </c>
      <c r="C50" s="7"/>
      <c r="D50" s="6" t="s">
        <v>88</v>
      </c>
      <c r="E50" s="6" t="s">
        <v>5</v>
      </c>
      <c r="F50" s="6" t="s">
        <v>89</v>
      </c>
      <c r="G50" s="6" t="s">
        <v>74</v>
      </c>
      <c r="H50" s="6" t="s">
        <v>90</v>
      </c>
      <c r="I50" s="6" t="s">
        <v>91</v>
      </c>
    </row>
    <row r="51" spans="2:12">
      <c r="B51" s="4" t="s">
        <v>128</v>
      </c>
      <c r="D51" s="18" t="s">
        <v>127</v>
      </c>
      <c r="E51" s="18" t="s">
        <v>92</v>
      </c>
      <c r="F51" s="18" t="s">
        <v>127</v>
      </c>
      <c r="G51" s="18" t="s">
        <v>143</v>
      </c>
      <c r="H51" s="18" t="s">
        <v>144</v>
      </c>
      <c r="I51" s="18" t="s">
        <v>127</v>
      </c>
    </row>
    <row r="52" spans="2:12">
      <c r="B52" s="4" t="s">
        <v>93</v>
      </c>
      <c r="D52" s="3">
        <f>G35</f>
        <v>29</v>
      </c>
      <c r="E52" s="6" t="s">
        <v>21</v>
      </c>
      <c r="F52" s="1">
        <f>'1. MaterialCost'!F19</f>
        <v>8.25</v>
      </c>
      <c r="G52" s="1">
        <f t="shared" ref="G52:G65" si="1">(D52*F52)</f>
        <v>239.25</v>
      </c>
      <c r="H52" s="1">
        <f t="shared" ref="H52:H65" si="2">(G52/$D$47)</f>
        <v>119.625</v>
      </c>
      <c r="I52" s="1">
        <f t="shared" ref="I52:I65" si="3">(G52/$F$6)</f>
        <v>0.37382812500000001</v>
      </c>
    </row>
    <row r="53" spans="2:12">
      <c r="B53" s="4" t="s">
        <v>94</v>
      </c>
      <c r="D53" s="3">
        <f>G36</f>
        <v>16</v>
      </c>
      <c r="E53" s="6" t="s">
        <v>21</v>
      </c>
      <c r="F53" s="1">
        <f>'1. MaterialCost'!F23</f>
        <v>18</v>
      </c>
      <c r="G53" s="1">
        <f t="shared" si="1"/>
        <v>288</v>
      </c>
      <c r="H53" s="1">
        <f t="shared" si="2"/>
        <v>144</v>
      </c>
      <c r="I53" s="1">
        <f t="shared" si="3"/>
        <v>0.45</v>
      </c>
    </row>
    <row r="54" spans="2:12">
      <c r="B54" s="4" t="s">
        <v>95</v>
      </c>
      <c r="D54" s="2">
        <f>G37/'1. MaterialCost'!D12</f>
        <v>0.4</v>
      </c>
      <c r="E54" s="6" t="s">
        <v>21</v>
      </c>
      <c r="F54" s="1">
        <f>'1. MaterialCost'!F12</f>
        <v>27</v>
      </c>
      <c r="G54" s="1">
        <f t="shared" si="1"/>
        <v>10.8</v>
      </c>
      <c r="H54" s="1">
        <f t="shared" si="2"/>
        <v>5.4</v>
      </c>
      <c r="I54" s="1">
        <f t="shared" si="3"/>
        <v>1.6875000000000001E-2</v>
      </c>
    </row>
    <row r="55" spans="2:12">
      <c r="B55" s="4" t="s">
        <v>96</v>
      </c>
      <c r="D55" s="3">
        <f>G38</f>
        <v>16</v>
      </c>
      <c r="E55" s="6" t="s">
        <v>21</v>
      </c>
      <c r="F55" s="1">
        <f>'1. MaterialCost'!F22</f>
        <v>0</v>
      </c>
      <c r="G55" s="1">
        <f t="shared" si="1"/>
        <v>0</v>
      </c>
      <c r="H55" s="1">
        <f t="shared" si="2"/>
        <v>0</v>
      </c>
      <c r="I55" s="1">
        <f t="shared" si="3"/>
        <v>0</v>
      </c>
    </row>
    <row r="56" spans="2:12">
      <c r="B56" s="4" t="s">
        <v>23</v>
      </c>
      <c r="D56" s="3">
        <f>G39</f>
        <v>20</v>
      </c>
      <c r="E56" s="6" t="s">
        <v>21</v>
      </c>
      <c r="F56" s="1">
        <f>'1. MaterialCost'!F24</f>
        <v>0.5</v>
      </c>
      <c r="G56" s="1">
        <f t="shared" si="1"/>
        <v>10</v>
      </c>
      <c r="H56" s="1">
        <f t="shared" si="2"/>
        <v>5</v>
      </c>
      <c r="I56" s="1">
        <f t="shared" si="3"/>
        <v>1.5625E-2</v>
      </c>
    </row>
    <row r="57" spans="2:12">
      <c r="B57" s="4" t="s">
        <v>97</v>
      </c>
      <c r="D57" s="3">
        <f>(IF(F8=1,(((F5/F9)+1)-(F18+F19+F20+F21+D58)),0))</f>
        <v>516</v>
      </c>
      <c r="E57" s="6" t="s">
        <v>21</v>
      </c>
      <c r="F57" s="1">
        <f>'1. MaterialCost'!F18</f>
        <v>2.2000000000000002</v>
      </c>
      <c r="G57" s="1">
        <f t="shared" si="1"/>
        <v>1135.2</v>
      </c>
      <c r="H57" s="1">
        <f t="shared" si="2"/>
        <v>567.6</v>
      </c>
      <c r="I57" s="1">
        <f t="shared" si="3"/>
        <v>1.7737500000000002</v>
      </c>
    </row>
    <row r="58" spans="2:12">
      <c r="B58" s="4" t="s">
        <v>98</v>
      </c>
      <c r="D58" s="3">
        <f>IF(F8=2,(((F5/F9)+1)-(F18+F19+F20+F21)),K58)</f>
        <v>0</v>
      </c>
      <c r="E58" s="6" t="s">
        <v>21</v>
      </c>
      <c r="F58" s="1">
        <f>'1. MaterialCost'!F17</f>
        <v>2.2000000000000002</v>
      </c>
      <c r="G58" s="1">
        <f t="shared" si="1"/>
        <v>0</v>
      </c>
      <c r="H58" s="1">
        <f t="shared" si="2"/>
        <v>0</v>
      </c>
      <c r="I58" s="1">
        <f t="shared" si="3"/>
        <v>0</v>
      </c>
      <c r="K58" s="4">
        <f>IF(AND(F8=1,F11&gt;0),(((F5/F11)+1)-(F18+F19+F20+F21)),0)</f>
        <v>0</v>
      </c>
      <c r="L58" s="4" t="s">
        <v>99</v>
      </c>
    </row>
    <row r="59" spans="2:12">
      <c r="B59" s="4" t="s">
        <v>100</v>
      </c>
      <c r="D59" s="3">
        <f>(D57*F12)</f>
        <v>516</v>
      </c>
      <c r="E59" s="6" t="s">
        <v>21</v>
      </c>
      <c r="F59" s="1">
        <f>'1. MaterialCost'!F27</f>
        <v>0.2</v>
      </c>
      <c r="G59" s="1">
        <f t="shared" si="1"/>
        <v>103.2</v>
      </c>
      <c r="H59" s="1">
        <f t="shared" si="2"/>
        <v>51.6</v>
      </c>
      <c r="I59" s="1">
        <f t="shared" si="3"/>
        <v>0.16125</v>
      </c>
    </row>
    <row r="60" spans="2:12">
      <c r="B60" s="4" t="s">
        <v>101</v>
      </c>
      <c r="D60" s="3">
        <f>((F5*F13)/'1. MaterialCost'!D10)</f>
        <v>40</v>
      </c>
      <c r="E60" s="6" t="s">
        <v>11</v>
      </c>
      <c r="F60" s="1">
        <f>'1. MaterialCost'!F10</f>
        <v>28.5</v>
      </c>
      <c r="G60" s="1">
        <f t="shared" si="1"/>
        <v>1140</v>
      </c>
      <c r="H60" s="1">
        <f t="shared" si="2"/>
        <v>570</v>
      </c>
      <c r="I60" s="1">
        <f t="shared" si="3"/>
        <v>1.78125</v>
      </c>
    </row>
    <row r="61" spans="2:12">
      <c r="B61" s="4" t="s">
        <v>102</v>
      </c>
      <c r="D61" s="3">
        <f>IF(F14=1,(F5/'1. MaterialCost'!D11),0)</f>
        <v>0</v>
      </c>
      <c r="E61" s="6" t="s">
        <v>11</v>
      </c>
      <c r="F61" s="1">
        <f>'1. MaterialCost'!F11</f>
        <v>65</v>
      </c>
      <c r="G61" s="1">
        <f t="shared" si="1"/>
        <v>0</v>
      </c>
      <c r="H61" s="1">
        <f t="shared" si="2"/>
        <v>0</v>
      </c>
      <c r="I61" s="1">
        <f t="shared" si="3"/>
        <v>0</v>
      </c>
    </row>
    <row r="62" spans="2:12">
      <c r="B62" s="4" t="s">
        <v>103</v>
      </c>
      <c r="D62" s="2">
        <f>((G40+D58+K58)*(F13+IF(F14=1,4,0)))/72</f>
        <v>2.0138888888888888</v>
      </c>
      <c r="E62" s="33" t="s">
        <v>27</v>
      </c>
      <c r="F62" s="1">
        <f>'1. MaterialCost'!F28</f>
        <v>0.6</v>
      </c>
      <c r="G62" s="1">
        <f t="shared" si="1"/>
        <v>1.2083333333333333</v>
      </c>
      <c r="H62" s="1">
        <f t="shared" si="2"/>
        <v>0.60416666666666663</v>
      </c>
      <c r="I62" s="1">
        <f t="shared" si="3"/>
        <v>1.8880208333333331E-3</v>
      </c>
    </row>
    <row r="63" spans="2:12">
      <c r="B63" s="4" t="s">
        <v>104</v>
      </c>
      <c r="D63" s="3">
        <f>F16</f>
        <v>4</v>
      </c>
      <c r="E63" s="6" t="s">
        <v>21</v>
      </c>
      <c r="F63" s="1">
        <f>'1. MaterialCost'!F29</f>
        <v>45</v>
      </c>
      <c r="G63" s="1">
        <f t="shared" si="1"/>
        <v>180</v>
      </c>
      <c r="H63" s="1">
        <f t="shared" si="2"/>
        <v>90</v>
      </c>
      <c r="I63" s="1">
        <f t="shared" si="3"/>
        <v>0.28125</v>
      </c>
    </row>
    <row r="64" spans="2:12">
      <c r="B64" s="4" t="s">
        <v>105</v>
      </c>
      <c r="D64" s="3">
        <f>F17</f>
        <v>1</v>
      </c>
      <c r="E64" s="6" t="s">
        <v>21</v>
      </c>
      <c r="F64" s="1">
        <f>'1. MaterialCost'!F30</f>
        <v>50</v>
      </c>
      <c r="G64" s="1">
        <f t="shared" si="1"/>
        <v>50</v>
      </c>
      <c r="H64" s="1">
        <f t="shared" si="2"/>
        <v>25</v>
      </c>
      <c r="I64" s="1">
        <f t="shared" si="3"/>
        <v>7.8125E-2</v>
      </c>
    </row>
    <row r="65" spans="2:12">
      <c r="B65" s="4" t="s">
        <v>24</v>
      </c>
      <c r="D65" s="3">
        <f>$D$47</f>
        <v>2</v>
      </c>
      <c r="E65" s="6" t="s">
        <v>44</v>
      </c>
      <c r="F65" s="1">
        <f>F15</f>
        <v>50</v>
      </c>
      <c r="G65" s="1">
        <f t="shared" si="1"/>
        <v>100</v>
      </c>
      <c r="H65" s="1">
        <f t="shared" si="2"/>
        <v>50</v>
      </c>
      <c r="I65" s="1">
        <f t="shared" si="3"/>
        <v>0.15625</v>
      </c>
    </row>
    <row r="66" spans="2:12">
      <c r="G66" s="18" t="s">
        <v>143</v>
      </c>
      <c r="H66" s="18" t="s">
        <v>144</v>
      </c>
      <c r="I66" s="18" t="s">
        <v>127</v>
      </c>
    </row>
    <row r="67" spans="2:12">
      <c r="B67" s="4" t="s">
        <v>106</v>
      </c>
      <c r="G67" s="1">
        <f>SUM(G52:G65)</f>
        <v>3257.6583333333333</v>
      </c>
      <c r="H67" s="1">
        <f>(G67/$D$47)</f>
        <v>1628.8291666666667</v>
      </c>
      <c r="I67" s="1">
        <f>(G67/$F$6)</f>
        <v>5.0900911458333331</v>
      </c>
    </row>
    <row r="68" spans="2:12">
      <c r="H68" s="1"/>
      <c r="I68" s="1"/>
    </row>
    <row r="69" spans="2:12">
      <c r="B69" s="4" t="s">
        <v>107</v>
      </c>
      <c r="D69" s="3">
        <f>$D$47</f>
        <v>2</v>
      </c>
      <c r="E69" s="6" t="s">
        <v>44</v>
      </c>
      <c r="F69" s="1">
        <f>'1. MaterialCost'!F44</f>
        <v>150</v>
      </c>
      <c r="G69" s="1">
        <f>($D$47*'1. MaterialCost'!F44)</f>
        <v>300</v>
      </c>
      <c r="H69" s="1">
        <f>(G69/$D$47)</f>
        <v>150</v>
      </c>
      <c r="I69" s="1">
        <f>(G69/$F$6)</f>
        <v>0.46875</v>
      </c>
    </row>
    <row r="70" spans="2:12">
      <c r="B70" s="4" t="s">
        <v>108</v>
      </c>
      <c r="D70" s="3">
        <f>$D$47</f>
        <v>2</v>
      </c>
      <c r="E70" s="6" t="s">
        <v>44</v>
      </c>
      <c r="F70" s="1">
        <f>'1. MaterialCost'!F45</f>
        <v>1000</v>
      </c>
      <c r="G70" s="1">
        <f>($D$47*'1. MaterialCost'!F45)</f>
        <v>2000</v>
      </c>
      <c r="H70" s="1">
        <f>(G70/$D$47)</f>
        <v>1000</v>
      </c>
      <c r="I70" s="1">
        <f>(G70/$F$6)</f>
        <v>3.125</v>
      </c>
    </row>
    <row r="71" spans="2:12">
      <c r="B71" s="4" t="s">
        <v>156</v>
      </c>
      <c r="D71" s="3">
        <f>$D$47</f>
        <v>2</v>
      </c>
      <c r="E71" s="6" t="s">
        <v>44</v>
      </c>
      <c r="F71" s="1">
        <f>'1. MaterialCost'!F46</f>
        <v>500</v>
      </c>
      <c r="G71" s="1">
        <f>($D$47*'1. MaterialCost'!F46)</f>
        <v>1000</v>
      </c>
      <c r="H71" s="1">
        <f>(G71/$D$47)</f>
        <v>500</v>
      </c>
      <c r="I71" s="1">
        <f>(G71/$F$6)</f>
        <v>1.5625</v>
      </c>
    </row>
    <row r="72" spans="2:12">
      <c r="B72" s="4" t="s">
        <v>157</v>
      </c>
      <c r="D72" s="3">
        <f>$D$47</f>
        <v>2</v>
      </c>
      <c r="E72" s="6" t="s">
        <v>44</v>
      </c>
      <c r="F72" s="1">
        <f>'1. MaterialCost'!F47</f>
        <v>100</v>
      </c>
      <c r="G72" s="1">
        <f>($D$47*'1. MaterialCost'!F47)</f>
        <v>200</v>
      </c>
      <c r="H72" s="1">
        <f>(G72/$D$47)</f>
        <v>100</v>
      </c>
      <c r="I72" s="1">
        <f>(G72/$F$6)</f>
        <v>0.3125</v>
      </c>
    </row>
    <row r="73" spans="2:12">
      <c r="F73" s="1"/>
      <c r="G73" s="18" t="s">
        <v>143</v>
      </c>
      <c r="H73" s="18" t="s">
        <v>144</v>
      </c>
      <c r="I73" s="18" t="s">
        <v>127</v>
      </c>
      <c r="K73" s="2">
        <f>(G74*F23*0.01)</f>
        <v>0</v>
      </c>
      <c r="L73" s="10" t="s">
        <v>163</v>
      </c>
    </row>
    <row r="74" spans="2:12">
      <c r="B74" s="4" t="s">
        <v>109</v>
      </c>
      <c r="G74" s="1">
        <f>SUM(G67,G69:G72)</f>
        <v>6757.6583333333328</v>
      </c>
      <c r="H74" s="1">
        <f>(G74/$D$47)</f>
        <v>3378.8291666666664</v>
      </c>
      <c r="I74" s="1">
        <f>(G74/$F$6)</f>
        <v>10.558841145833332</v>
      </c>
    </row>
    <row r="75" spans="2:12">
      <c r="B75" s="4" t="s">
        <v>110</v>
      </c>
      <c r="G75" s="1">
        <f>IF(K73&gt;F24,F24,K73)</f>
        <v>0</v>
      </c>
      <c r="H75" s="1">
        <f>(G75/$D$47)</f>
        <v>0</v>
      </c>
      <c r="I75" s="1">
        <f>(G75/$F$6)</f>
        <v>0</v>
      </c>
    </row>
    <row r="76" spans="2:12">
      <c r="B76" s="4" t="s">
        <v>111</v>
      </c>
      <c r="E76" s="2"/>
      <c r="G76" s="1">
        <f>(G74-G75)</f>
        <v>6757.6583333333328</v>
      </c>
      <c r="H76" s="1">
        <f>(G76/$D$47)</f>
        <v>3378.8291666666664</v>
      </c>
      <c r="I76" s="1">
        <f>(G76/$F$6)</f>
        <v>10.558841145833332</v>
      </c>
    </row>
    <row r="79" spans="2:12">
      <c r="B79" s="37" t="s">
        <v>112</v>
      </c>
      <c r="C79" s="37"/>
      <c r="D79" s="37"/>
      <c r="E79" s="37"/>
      <c r="F79" s="37"/>
      <c r="G79" s="37"/>
    </row>
    <row r="80" spans="2:12">
      <c r="E80" s="6" t="s">
        <v>74</v>
      </c>
      <c r="F80" s="6" t="s">
        <v>113</v>
      </c>
      <c r="G80" s="6" t="s">
        <v>114</v>
      </c>
    </row>
    <row r="81" spans="2:8">
      <c r="B81" s="4" t="s">
        <v>115</v>
      </c>
      <c r="E81" s="18" t="s">
        <v>127</v>
      </c>
      <c r="F81" s="18" t="s">
        <v>127</v>
      </c>
      <c r="G81" s="18" t="s">
        <v>127</v>
      </c>
    </row>
    <row r="82" spans="2:8">
      <c r="B82" s="4" t="s">
        <v>145</v>
      </c>
      <c r="E82" s="1">
        <f>(G76/F22)</f>
        <v>337.88291666666663</v>
      </c>
      <c r="F82" s="1">
        <f>(E82/$D$47)</f>
        <v>168.94145833333332</v>
      </c>
      <c r="G82" s="1">
        <f>(E82/$F$6)</f>
        <v>0.52794205729166666</v>
      </c>
    </row>
    <row r="83" spans="2:8">
      <c r="B83" s="4" t="s">
        <v>146</v>
      </c>
      <c r="E83" s="2">
        <f>((G76/2)*'1. MaterialCost'!F55*0.01)</f>
        <v>168.94145833333332</v>
      </c>
      <c r="F83" s="2">
        <f>(E83/$D$47)</f>
        <v>84.470729166666658</v>
      </c>
      <c r="G83" s="2">
        <f>(E83/$F$6)</f>
        <v>0.26397102864583333</v>
      </c>
      <c r="H83" s="2"/>
    </row>
    <row r="84" spans="2:8">
      <c r="B84" s="4" t="s">
        <v>116</v>
      </c>
      <c r="E84" s="2"/>
      <c r="F84" s="2"/>
      <c r="G84" s="2"/>
      <c r="H84" s="2"/>
    </row>
    <row r="85" spans="2:8">
      <c r="B85" s="4" t="s">
        <v>75</v>
      </c>
      <c r="E85" s="2">
        <f>(F85*$D$47)</f>
        <v>200</v>
      </c>
      <c r="F85" s="2">
        <f>F26</f>
        <v>100</v>
      </c>
      <c r="G85" s="2">
        <f>(E85/$F$6)</f>
        <v>0.3125</v>
      </c>
      <c r="H85" s="2"/>
    </row>
    <row r="86" spans="2:8">
      <c r="B86" s="4" t="s">
        <v>45</v>
      </c>
      <c r="E86" s="2">
        <f>(F86*$D$47)</f>
        <v>150</v>
      </c>
      <c r="F86" s="2">
        <f>F27</f>
        <v>75</v>
      </c>
      <c r="G86" s="2">
        <f>(E86/$F$6)</f>
        <v>0.234375</v>
      </c>
      <c r="H86" s="2"/>
    </row>
    <row r="87" spans="2:8">
      <c r="B87" s="4" t="s">
        <v>158</v>
      </c>
      <c r="E87" s="2">
        <f>((E85+E86)*0.5*'1. MaterialCost'!F56*0.01)</f>
        <v>10.5</v>
      </c>
      <c r="F87" s="2">
        <f>(E87/$D$47)</f>
        <v>5.25</v>
      </c>
      <c r="G87" s="2">
        <f>(E87/$F$6)</f>
        <v>1.6406250000000001E-2</v>
      </c>
      <c r="H87" s="2"/>
    </row>
    <row r="88" spans="2:8">
      <c r="B88" s="4" t="s">
        <v>79</v>
      </c>
      <c r="E88" s="2">
        <f>(F88*$D$47)</f>
        <v>100</v>
      </c>
      <c r="F88" s="2">
        <f>F28</f>
        <v>50</v>
      </c>
      <c r="G88" s="2">
        <f>(E88/$F$6)</f>
        <v>0.15625</v>
      </c>
      <c r="H88" s="2"/>
    </row>
    <row r="89" spans="2:8">
      <c r="E89" s="18" t="s">
        <v>127</v>
      </c>
      <c r="F89" s="18" t="s">
        <v>127</v>
      </c>
      <c r="G89" s="18" t="s">
        <v>127</v>
      </c>
    </row>
    <row r="90" spans="2:8">
      <c r="B90" s="4" t="s">
        <v>117</v>
      </c>
      <c r="E90" s="1">
        <f>SUM(E82:E88)</f>
        <v>967.32437499999992</v>
      </c>
      <c r="F90" s="1">
        <f>SUM(F82:F88)</f>
        <v>483.66218749999996</v>
      </c>
      <c r="G90" s="1">
        <f>SUM(G82:G88)</f>
        <v>1.5114443359374998</v>
      </c>
    </row>
  </sheetData>
  <sheetProtection sheet="1" objects="1" scenarios="1"/>
  <mergeCells count="4">
    <mergeCell ref="B79:G79"/>
    <mergeCell ref="B45:I45"/>
    <mergeCell ref="B1:F1"/>
    <mergeCell ref="G49:H49"/>
  </mergeCells>
  <phoneticPr fontId="0" type="noConversion"/>
  <printOptions horizontalCentered="1"/>
  <pageMargins left="0.5" right="0.25" top="0.5" bottom="1" header="0.5" footer="0.5"/>
  <pageSetup scale="75" orientation="portrait" r:id="rId1"/>
  <headerFooter alignWithMargins="0">
    <oddFooter>&amp;L&amp;F&amp;R&amp;10Page &amp;P of &amp;N
&amp;A</oddFooter>
  </headerFooter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110"/>
  <sheetViews>
    <sheetView showGridLines="0" zoomScaleNormal="100" workbookViewId="0">
      <selection activeCell="H4" sqref="H4"/>
    </sheetView>
  </sheetViews>
  <sheetFormatPr defaultRowHeight="15.5"/>
  <cols>
    <col min="1" max="1" width="6.69140625" customWidth="1"/>
    <col min="2" max="2" width="25.765625" customWidth="1"/>
    <col min="3" max="3" width="7.84375" customWidth="1"/>
    <col min="4" max="7" width="10.765625" customWidth="1"/>
    <col min="8" max="8" width="12.69140625" customWidth="1"/>
    <col min="9" max="9" width="10.84375" customWidth="1"/>
    <col min="10" max="13" width="10.765625" customWidth="1"/>
  </cols>
  <sheetData>
    <row r="1" spans="2:16">
      <c r="B1" s="37" t="s">
        <v>118</v>
      </c>
      <c r="C1" s="37"/>
      <c r="D1" s="37"/>
      <c r="E1" s="37"/>
      <c r="F1" s="37"/>
      <c r="G1" s="4"/>
      <c r="H1" s="4"/>
      <c r="I1" s="4"/>
      <c r="J1" s="4"/>
      <c r="K1" s="4"/>
      <c r="L1" s="4"/>
      <c r="M1" s="4"/>
      <c r="N1" s="4"/>
      <c r="O1" s="4"/>
      <c r="P1" s="4"/>
    </row>
    <row r="3" spans="2:16">
      <c r="B3" s="6" t="s">
        <v>48</v>
      </c>
      <c r="C3" s="4"/>
      <c r="D3" s="4"/>
      <c r="E3" s="6" t="s">
        <v>5</v>
      </c>
      <c r="F3" s="6" t="s">
        <v>49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>
      <c r="B4" s="7" t="s">
        <v>3</v>
      </c>
      <c r="C4" s="4"/>
      <c r="D4" s="4"/>
      <c r="E4" s="18" t="s">
        <v>131</v>
      </c>
      <c r="F4" s="18" t="s">
        <v>131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>
      <c r="B5" s="4" t="s">
        <v>159</v>
      </c>
      <c r="C5" s="4"/>
      <c r="D5" s="4"/>
      <c r="E5" s="6" t="s">
        <v>7</v>
      </c>
      <c r="F5" s="21">
        <v>10560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>
      <c r="B6" s="4" t="s">
        <v>52</v>
      </c>
      <c r="C6" s="4"/>
      <c r="D6" s="4"/>
      <c r="E6" s="6" t="s">
        <v>53</v>
      </c>
      <c r="F6" s="20">
        <v>640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>
      <c r="B7" s="4" t="s">
        <v>54</v>
      </c>
      <c r="C7" s="4"/>
      <c r="D7" s="4"/>
      <c r="E7" s="6"/>
      <c r="F7" s="23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>
      <c r="B8" s="4" t="s">
        <v>55</v>
      </c>
      <c r="C8" s="4"/>
      <c r="D8" s="4"/>
      <c r="E8" s="6" t="s">
        <v>56</v>
      </c>
      <c r="F8" s="20">
        <v>1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>
      <c r="B9" s="4" t="s">
        <v>57</v>
      </c>
      <c r="C9" s="4"/>
      <c r="D9" s="4"/>
      <c r="E9" s="6" t="s">
        <v>58</v>
      </c>
      <c r="F9" s="20">
        <v>50</v>
      </c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>
      <c r="B10" s="4" t="s">
        <v>139</v>
      </c>
      <c r="C10" s="4"/>
      <c r="D10" s="4"/>
      <c r="E10" s="6"/>
      <c r="F10" s="23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>
      <c r="B11" s="4" t="s">
        <v>59</v>
      </c>
      <c r="C11" s="4"/>
      <c r="D11" s="4"/>
      <c r="E11" s="6" t="s">
        <v>58</v>
      </c>
      <c r="F11" s="20">
        <v>0</v>
      </c>
      <c r="G11" s="4"/>
      <c r="H11" s="4"/>
      <c r="I11" s="4"/>
      <c r="J11" s="4"/>
      <c r="K11" s="26"/>
      <c r="L11" s="4"/>
      <c r="M11" s="4"/>
      <c r="N11" s="4"/>
      <c r="O11" s="4"/>
      <c r="P11" s="4"/>
    </row>
    <row r="12" spans="2:16">
      <c r="B12" s="4" t="s">
        <v>60</v>
      </c>
      <c r="C12" s="4"/>
      <c r="D12" s="4"/>
      <c r="E12" s="6" t="s">
        <v>61</v>
      </c>
      <c r="F12" s="20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>
      <c r="B13" s="4" t="s">
        <v>62</v>
      </c>
      <c r="C13" s="4"/>
      <c r="D13" s="4"/>
      <c r="E13" s="6" t="s">
        <v>61</v>
      </c>
      <c r="F13" s="20">
        <v>2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>
      <c r="B14" s="4" t="s">
        <v>147</v>
      </c>
      <c r="C14" s="4"/>
      <c r="D14" s="4"/>
      <c r="E14" s="6"/>
      <c r="F14" s="23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>
      <c r="B15" s="4" t="s">
        <v>33</v>
      </c>
      <c r="C15" s="4"/>
      <c r="D15" s="4"/>
      <c r="E15" s="6" t="s">
        <v>61</v>
      </c>
      <c r="F15" s="20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>
      <c r="B16" s="4" t="s">
        <v>34</v>
      </c>
      <c r="C16" s="4"/>
      <c r="D16" s="4"/>
      <c r="E16" s="6" t="s">
        <v>61</v>
      </c>
      <c r="F16" s="20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B17" s="4" t="s">
        <v>35</v>
      </c>
      <c r="C17" s="4"/>
      <c r="D17" s="4"/>
      <c r="E17" s="6" t="s">
        <v>61</v>
      </c>
      <c r="F17" s="20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B18" s="4" t="s">
        <v>119</v>
      </c>
      <c r="C18" s="4"/>
      <c r="D18" s="4"/>
      <c r="E18" s="6" t="s">
        <v>61</v>
      </c>
      <c r="F18" s="20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>
      <c r="B19" s="4" t="s">
        <v>120</v>
      </c>
      <c r="C19" s="4"/>
      <c r="D19" s="4"/>
      <c r="E19" s="6" t="s">
        <v>61</v>
      </c>
      <c r="F19" s="20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B20" s="4" t="s">
        <v>39</v>
      </c>
      <c r="C20" s="4"/>
      <c r="D20" s="4"/>
      <c r="E20" s="6" t="s">
        <v>61</v>
      </c>
      <c r="F20" s="20">
        <v>4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4" t="s">
        <v>40</v>
      </c>
      <c r="C21" s="4"/>
      <c r="D21" s="4"/>
      <c r="E21" s="6" t="s">
        <v>61</v>
      </c>
      <c r="F21" s="20">
        <v>8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B22" s="4" t="s">
        <v>41</v>
      </c>
      <c r="C22" s="4"/>
      <c r="D22" s="4"/>
      <c r="E22" s="6" t="s">
        <v>61</v>
      </c>
      <c r="F22" s="20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4" t="s">
        <v>64</v>
      </c>
      <c r="C23" s="4"/>
      <c r="D23" s="4"/>
      <c r="E23" s="6" t="s">
        <v>65</v>
      </c>
      <c r="F23" s="20">
        <v>100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B24" s="4" t="s">
        <v>150</v>
      </c>
      <c r="C24" s="4"/>
      <c r="D24" s="4"/>
      <c r="E24" s="6" t="s">
        <v>61</v>
      </c>
      <c r="F24" s="20">
        <v>4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B25" s="4" t="s">
        <v>66</v>
      </c>
      <c r="C25" s="4"/>
      <c r="D25" s="4"/>
      <c r="E25" s="6" t="s">
        <v>61</v>
      </c>
      <c r="F25" s="20">
        <v>1</v>
      </c>
      <c r="G25" s="4"/>
      <c r="N25" s="4"/>
      <c r="O25" s="4"/>
      <c r="P25" s="4"/>
    </row>
    <row r="26" spans="2:16">
      <c r="B26" s="4" t="s">
        <v>151</v>
      </c>
      <c r="C26" s="4"/>
      <c r="D26" s="4"/>
      <c r="E26" s="6" t="s">
        <v>61</v>
      </c>
      <c r="F26" s="20">
        <v>0</v>
      </c>
      <c r="G26" s="4"/>
      <c r="N26" s="4"/>
      <c r="O26" s="4"/>
      <c r="P26" s="4"/>
    </row>
    <row r="27" spans="2:16">
      <c r="B27" s="4" t="s">
        <v>67</v>
      </c>
      <c r="C27" s="4"/>
      <c r="D27" s="4"/>
      <c r="E27" s="6" t="s">
        <v>61</v>
      </c>
      <c r="F27" s="20">
        <v>8</v>
      </c>
      <c r="G27" s="4"/>
      <c r="N27" s="4"/>
      <c r="O27" s="4"/>
      <c r="P27" s="4"/>
    </row>
    <row r="28" spans="2:16">
      <c r="B28" s="4" t="s">
        <v>152</v>
      </c>
      <c r="C28" s="4"/>
      <c r="D28" s="4"/>
      <c r="E28" s="6" t="s">
        <v>61</v>
      </c>
      <c r="F28" s="20">
        <v>0</v>
      </c>
      <c r="G28" s="4"/>
      <c r="N28" s="4"/>
      <c r="O28" s="4"/>
      <c r="P28" s="4"/>
    </row>
    <row r="29" spans="2:16">
      <c r="B29" s="4" t="s">
        <v>153</v>
      </c>
      <c r="C29" s="4"/>
      <c r="D29" s="4"/>
      <c r="E29" s="6" t="s">
        <v>61</v>
      </c>
      <c r="F29" s="20">
        <v>1</v>
      </c>
      <c r="G29" s="4"/>
      <c r="N29" s="4"/>
      <c r="O29" s="4"/>
      <c r="P29" s="4"/>
    </row>
    <row r="30" spans="2:16">
      <c r="B30" s="4" t="s">
        <v>68</v>
      </c>
      <c r="C30" s="4"/>
      <c r="D30" s="4"/>
      <c r="E30" s="6" t="s">
        <v>69</v>
      </c>
      <c r="F30" s="20">
        <v>20</v>
      </c>
      <c r="G30" s="4"/>
      <c r="P30" s="4"/>
    </row>
    <row r="31" spans="2:16">
      <c r="B31" s="4" t="s">
        <v>160</v>
      </c>
      <c r="C31" s="4"/>
      <c r="D31" s="4"/>
      <c r="E31" s="6" t="s">
        <v>46</v>
      </c>
      <c r="F31" s="20">
        <v>0</v>
      </c>
      <c r="G31" s="4"/>
      <c r="P31" s="4"/>
    </row>
    <row r="32" spans="2:16">
      <c r="B32" s="4" t="s">
        <v>70</v>
      </c>
      <c r="C32" s="4"/>
      <c r="D32" s="4"/>
      <c r="E32" s="6" t="s">
        <v>71</v>
      </c>
      <c r="F32" s="29">
        <v>0</v>
      </c>
      <c r="G32" s="4"/>
      <c r="P32" s="4"/>
    </row>
    <row r="33" spans="2:16">
      <c r="B33" s="4" t="s">
        <v>72</v>
      </c>
      <c r="C33" s="4"/>
      <c r="D33" s="4"/>
      <c r="E33" s="6"/>
      <c r="F33" s="10"/>
      <c r="G33" s="4"/>
      <c r="P33" s="4"/>
    </row>
    <row r="34" spans="2:16">
      <c r="B34" s="4" t="s">
        <v>75</v>
      </c>
      <c r="C34" s="4"/>
      <c r="D34" s="4"/>
      <c r="E34" s="6" t="s">
        <v>44</v>
      </c>
      <c r="F34" s="20">
        <v>75</v>
      </c>
      <c r="G34" s="4"/>
      <c r="P34" s="4"/>
    </row>
    <row r="35" spans="2:16">
      <c r="B35" s="4" t="s">
        <v>45</v>
      </c>
      <c r="C35" s="4"/>
      <c r="D35" s="4"/>
      <c r="E35" s="6" t="s">
        <v>44</v>
      </c>
      <c r="F35" s="20">
        <v>20</v>
      </c>
      <c r="G35" s="4"/>
      <c r="P35" s="4"/>
    </row>
    <row r="36" spans="2:16">
      <c r="B36" s="4" t="s">
        <v>79</v>
      </c>
      <c r="C36" s="4"/>
      <c r="D36" s="4"/>
      <c r="E36" s="6" t="s">
        <v>44</v>
      </c>
      <c r="F36" s="20">
        <v>30</v>
      </c>
      <c r="G36" s="4"/>
      <c r="P36" s="4"/>
    </row>
    <row r="37" spans="2:16">
      <c r="B37" s="4"/>
      <c r="C37" s="4"/>
      <c r="D37" s="4"/>
      <c r="E37" s="4"/>
      <c r="F37" s="4"/>
      <c r="G37" s="4"/>
      <c r="P37" s="4"/>
    </row>
    <row r="38" spans="2:16">
      <c r="B38" s="4"/>
      <c r="C38" s="4"/>
      <c r="D38" s="4"/>
      <c r="E38" s="4"/>
      <c r="F38" s="4"/>
      <c r="G38" s="4"/>
      <c r="P38" s="4"/>
    </row>
    <row r="39" spans="2:16">
      <c r="B39" s="5" t="s">
        <v>142</v>
      </c>
      <c r="C39" s="4"/>
      <c r="D39" s="4"/>
      <c r="E39" s="4"/>
      <c r="F39" s="4"/>
      <c r="G39" s="4"/>
      <c r="P39" s="4"/>
    </row>
    <row r="40" spans="2:16">
      <c r="B40" s="4"/>
      <c r="C40" s="11" t="s">
        <v>129</v>
      </c>
      <c r="D40" s="11" t="s">
        <v>73</v>
      </c>
      <c r="E40" s="11" t="s">
        <v>154</v>
      </c>
      <c r="F40" s="11" t="s">
        <v>155</v>
      </c>
      <c r="G40" s="11" t="s">
        <v>74</v>
      </c>
      <c r="P40" s="4"/>
    </row>
    <row r="41" spans="2:16">
      <c r="B41" s="4" t="s">
        <v>76</v>
      </c>
      <c r="C41" s="11" t="s">
        <v>77</v>
      </c>
      <c r="D41" s="11" t="s">
        <v>77</v>
      </c>
      <c r="E41" s="11" t="s">
        <v>78</v>
      </c>
      <c r="F41" s="11" t="s">
        <v>78</v>
      </c>
      <c r="G41" s="4"/>
      <c r="P41" s="4"/>
    </row>
    <row r="42" spans="2:16">
      <c r="B42" s="19" t="s">
        <v>134</v>
      </c>
      <c r="C42" s="11" t="s">
        <v>121</v>
      </c>
      <c r="D42" s="11" t="s">
        <v>121</v>
      </c>
      <c r="E42" s="11" t="s">
        <v>121</v>
      </c>
      <c r="F42" s="11" t="s">
        <v>121</v>
      </c>
      <c r="G42" s="11" t="s">
        <v>121</v>
      </c>
      <c r="P42" s="4"/>
    </row>
    <row r="43" spans="2:16">
      <c r="B43" s="4" t="s">
        <v>18</v>
      </c>
      <c r="C43" s="20">
        <v>2</v>
      </c>
      <c r="D43" s="20">
        <v>2</v>
      </c>
      <c r="E43" s="20">
        <v>3</v>
      </c>
      <c r="F43" s="20">
        <v>5</v>
      </c>
      <c r="G43" s="3">
        <f t="shared" ref="G43:G48" si="0">(C43*$F$26+D43*$F$27+E43*$F$28+F43*$F$29)</f>
        <v>21</v>
      </c>
      <c r="P43" s="4"/>
    </row>
    <row r="44" spans="2:16">
      <c r="B44" s="4" t="s">
        <v>80</v>
      </c>
      <c r="C44" s="20">
        <v>1</v>
      </c>
      <c r="D44" s="20">
        <v>1</v>
      </c>
      <c r="E44" s="20">
        <v>2</v>
      </c>
      <c r="F44" s="20">
        <v>4</v>
      </c>
      <c r="G44" s="3">
        <f t="shared" si="0"/>
        <v>12</v>
      </c>
      <c r="P44" s="4"/>
    </row>
    <row r="45" spans="2:16">
      <c r="B45" s="4" t="s">
        <v>81</v>
      </c>
      <c r="C45" s="20">
        <v>80</v>
      </c>
      <c r="D45" s="20">
        <v>50</v>
      </c>
      <c r="E45" s="20">
        <v>100</v>
      </c>
      <c r="F45" s="20">
        <v>320</v>
      </c>
      <c r="G45" s="3">
        <f t="shared" si="0"/>
        <v>720</v>
      </c>
      <c r="P45" s="4"/>
    </row>
    <row r="46" spans="2:16">
      <c r="B46" s="4" t="s">
        <v>83</v>
      </c>
      <c r="C46" s="20">
        <v>1</v>
      </c>
      <c r="D46" s="20">
        <v>1</v>
      </c>
      <c r="E46" s="20">
        <v>2</v>
      </c>
      <c r="F46" s="20">
        <v>4</v>
      </c>
      <c r="G46" s="3">
        <f t="shared" si="0"/>
        <v>12</v>
      </c>
      <c r="P46" s="4"/>
    </row>
    <row r="47" spans="2:16">
      <c r="B47" s="4" t="s">
        <v>84</v>
      </c>
      <c r="C47" s="20">
        <v>2</v>
      </c>
      <c r="D47" s="20">
        <v>1</v>
      </c>
      <c r="E47" s="20">
        <v>2</v>
      </c>
      <c r="F47" s="20">
        <v>4</v>
      </c>
      <c r="G47" s="3">
        <f t="shared" si="0"/>
        <v>12</v>
      </c>
      <c r="P47" s="4"/>
    </row>
    <row r="48" spans="2:16">
      <c r="B48" s="4" t="s">
        <v>103</v>
      </c>
      <c r="C48" s="20">
        <v>2</v>
      </c>
      <c r="D48" s="20">
        <v>2</v>
      </c>
      <c r="E48" s="20">
        <v>3</v>
      </c>
      <c r="F48" s="20">
        <v>5</v>
      </c>
      <c r="G48" s="3">
        <f t="shared" si="0"/>
        <v>21</v>
      </c>
      <c r="P48" s="4"/>
    </row>
    <row r="49" spans="2:16">
      <c r="B49" s="4"/>
      <c r="C49" s="11" t="s">
        <v>121</v>
      </c>
      <c r="D49" s="11" t="s">
        <v>121</v>
      </c>
      <c r="E49" s="11" t="s">
        <v>121</v>
      </c>
      <c r="F49" s="11" t="s">
        <v>121</v>
      </c>
      <c r="G49" s="11" t="s">
        <v>121</v>
      </c>
      <c r="P49" s="4"/>
    </row>
    <row r="50" spans="2:16">
      <c r="B50" s="4" t="s">
        <v>87</v>
      </c>
      <c r="C50" s="1">
        <f>(C43*'1. MaterialCost'!$F17+C44*'1. MaterialCost'!$F19+C45*'1. MaterialCost'!H12+C46*'1. MaterialCost'!$F22+C47*'1. MaterialCost'!$F24+C48*'1. MaterialCost'!$F$28/72)</f>
        <v>14.497435897435899</v>
      </c>
      <c r="D50" s="1">
        <f>(D43*'1. MaterialCost'!$F17+D44*'1. MaterialCost'!$F19+D45*'1. MaterialCost'!H12+D46*'1. MaterialCost'!$F22+D47*'1. MaterialCost'!$F24+D48*'1. MaterialCost'!$F$28/72)</f>
        <v>13.685897435897438</v>
      </c>
      <c r="E50" s="1">
        <f>(E43*'1. MaterialCost'!$F17+E44*'1. MaterialCost'!$F19+E45*'1. MaterialCost'!H12+E46*'1. MaterialCost'!$F22+E47*'1. MaterialCost'!$F24+E48*'1. MaterialCost'!$F$28/72)</f>
        <v>25.16346153846154</v>
      </c>
      <c r="F50" s="1">
        <f>(F43*'1. MaterialCost'!$F17+F44*'1. MaterialCost'!$F19+F45*'1. MaterialCost'!H12+F46*'1. MaterialCost'!$F22+F47*'1. MaterialCost'!$F24+F48*'1. MaterialCost'!$F$28/72)</f>
        <v>49.36474358974359</v>
      </c>
      <c r="G50" s="4"/>
      <c r="P50" s="4"/>
    </row>
    <row r="51" spans="2:16">
      <c r="B51" s="4"/>
      <c r="C51" s="1"/>
      <c r="D51" s="1"/>
      <c r="E51" s="1"/>
      <c r="F51" s="1"/>
      <c r="G51" s="4"/>
      <c r="P51" s="4"/>
    </row>
    <row r="52" spans="2:16">
      <c r="B52" s="4"/>
      <c r="C52" s="1"/>
      <c r="D52" s="1"/>
      <c r="E52" s="1"/>
      <c r="F52" s="1"/>
      <c r="G52" s="4"/>
      <c r="P52" s="4"/>
    </row>
    <row r="53" spans="2:16">
      <c r="B53" s="37" t="s">
        <v>161</v>
      </c>
      <c r="C53" s="37"/>
      <c r="D53" s="37"/>
      <c r="E53" s="37"/>
      <c r="F53" s="37"/>
      <c r="G53" s="37"/>
      <c r="H53" s="37"/>
      <c r="I53" s="37"/>
      <c r="P53" s="4"/>
    </row>
    <row r="54" spans="2:16">
      <c r="B54" s="4"/>
      <c r="C54" s="4"/>
      <c r="D54" s="4"/>
      <c r="E54" s="4"/>
      <c r="F54" s="4"/>
      <c r="G54" s="4"/>
      <c r="P54" s="4"/>
    </row>
    <row r="55" spans="2:16">
      <c r="B55" s="4" t="s">
        <v>85</v>
      </c>
      <c r="C55" s="4"/>
      <c r="D55" s="2">
        <f>(F5/5280)</f>
        <v>2</v>
      </c>
      <c r="E55" s="4"/>
      <c r="F55" s="4"/>
      <c r="G55" s="4"/>
      <c r="H55" s="4"/>
      <c r="I55" s="4"/>
      <c r="P55" s="4"/>
    </row>
    <row r="56" spans="2:16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>
      <c r="B57" s="28" t="s">
        <v>133</v>
      </c>
      <c r="C57" s="4"/>
      <c r="D57" s="4"/>
      <c r="E57" s="4"/>
      <c r="F57" s="4"/>
      <c r="G57" s="40" t="s">
        <v>132</v>
      </c>
      <c r="H57" s="40"/>
      <c r="I57" s="4"/>
      <c r="J57" s="4"/>
      <c r="K57" s="4"/>
      <c r="L57" s="4"/>
      <c r="M57" s="4"/>
      <c r="N57" s="4"/>
      <c r="O57" s="4"/>
      <c r="P57" s="4"/>
    </row>
    <row r="58" spans="2:16">
      <c r="B58" s="7" t="s">
        <v>3</v>
      </c>
      <c r="C58" s="7"/>
      <c r="D58" s="6" t="s">
        <v>88</v>
      </c>
      <c r="E58" s="6" t="s">
        <v>5</v>
      </c>
      <c r="F58" s="6" t="s">
        <v>89</v>
      </c>
      <c r="G58" s="6" t="s">
        <v>74</v>
      </c>
      <c r="H58" s="6" t="s">
        <v>90</v>
      </c>
      <c r="I58" s="6" t="s">
        <v>91</v>
      </c>
      <c r="J58" s="4"/>
      <c r="K58" s="4"/>
      <c r="L58" s="4"/>
      <c r="M58" s="4"/>
      <c r="N58" s="4"/>
      <c r="O58" s="4"/>
      <c r="P58" s="4"/>
    </row>
    <row r="59" spans="2:16">
      <c r="B59" s="4" t="s">
        <v>128</v>
      </c>
      <c r="C59" s="4"/>
      <c r="D59" s="18" t="s">
        <v>127</v>
      </c>
      <c r="E59" s="18" t="s">
        <v>92</v>
      </c>
      <c r="F59" s="18" t="s">
        <v>127</v>
      </c>
      <c r="G59" s="18" t="s">
        <v>143</v>
      </c>
      <c r="H59" s="18" t="s">
        <v>144</v>
      </c>
      <c r="I59" s="18" t="s">
        <v>127</v>
      </c>
      <c r="J59" s="4"/>
      <c r="K59" s="4"/>
      <c r="L59" s="4"/>
      <c r="M59" s="4"/>
      <c r="N59" s="4"/>
      <c r="O59" s="4"/>
      <c r="P59" s="4"/>
    </row>
    <row r="60" spans="2:16">
      <c r="B60" s="4" t="s">
        <v>93</v>
      </c>
      <c r="C60" s="4"/>
      <c r="D60" s="24">
        <f>G43</f>
        <v>21</v>
      </c>
      <c r="E60" s="11" t="s">
        <v>21</v>
      </c>
      <c r="F60" s="1">
        <f>'1. MaterialCost'!F19</f>
        <v>8.25</v>
      </c>
      <c r="G60" s="1">
        <f t="shared" ref="G60:G67" si="1">(D60*F60)</f>
        <v>173.25</v>
      </c>
      <c r="H60" s="1">
        <f t="shared" ref="H60:H67" si="2">(G60/$D$55)</f>
        <v>86.625</v>
      </c>
      <c r="I60" s="1">
        <f t="shared" ref="I60:I67" si="3">(G60/$F$6)</f>
        <v>0.27070312499999999</v>
      </c>
      <c r="J60" s="4"/>
      <c r="K60" s="4"/>
      <c r="L60" s="4"/>
      <c r="M60" s="4"/>
      <c r="N60" s="4"/>
      <c r="O60" s="4"/>
      <c r="P60" s="4"/>
    </row>
    <row r="61" spans="2:16">
      <c r="B61" s="4" t="s">
        <v>94</v>
      </c>
      <c r="C61" s="4"/>
      <c r="D61" s="24">
        <f>G44</f>
        <v>12</v>
      </c>
      <c r="E61" s="11" t="s">
        <v>21</v>
      </c>
      <c r="F61" s="1">
        <f>'1. MaterialCost'!F23</f>
        <v>18</v>
      </c>
      <c r="G61" s="1">
        <f t="shared" si="1"/>
        <v>216</v>
      </c>
      <c r="H61" s="1">
        <f t="shared" si="2"/>
        <v>108</v>
      </c>
      <c r="I61" s="1">
        <f t="shared" si="3"/>
        <v>0.33750000000000002</v>
      </c>
      <c r="J61" s="4"/>
      <c r="K61" s="4"/>
      <c r="L61" s="4"/>
      <c r="M61" s="4"/>
      <c r="N61" s="4"/>
      <c r="O61" s="4"/>
      <c r="P61" s="4"/>
    </row>
    <row r="62" spans="2:16">
      <c r="B62" s="4" t="s">
        <v>122</v>
      </c>
      <c r="C62" s="4"/>
      <c r="D62" s="15">
        <f>G45/'1. MaterialCost'!D12</f>
        <v>0.27692307692307694</v>
      </c>
      <c r="E62" s="11" t="s">
        <v>21</v>
      </c>
      <c r="F62" s="1">
        <f>'1. MaterialCost'!F12</f>
        <v>27</v>
      </c>
      <c r="G62" s="1">
        <f t="shared" si="1"/>
        <v>7.476923076923077</v>
      </c>
      <c r="H62" s="1">
        <f t="shared" si="2"/>
        <v>3.7384615384615385</v>
      </c>
      <c r="I62" s="1">
        <f t="shared" si="3"/>
        <v>1.1682692307692307E-2</v>
      </c>
      <c r="J62" s="4"/>
      <c r="K62" s="4"/>
      <c r="L62" s="4"/>
      <c r="M62" s="4"/>
      <c r="N62" s="4"/>
      <c r="O62" s="4"/>
      <c r="P62" s="4"/>
    </row>
    <row r="63" spans="2:16">
      <c r="B63" s="4" t="s">
        <v>96</v>
      </c>
      <c r="C63" s="4"/>
      <c r="D63" s="24">
        <f>G46</f>
        <v>12</v>
      </c>
      <c r="E63" s="11" t="s">
        <v>21</v>
      </c>
      <c r="F63" s="1">
        <f>'1. MaterialCost'!F22</f>
        <v>0</v>
      </c>
      <c r="G63" s="1">
        <f t="shared" si="1"/>
        <v>0</v>
      </c>
      <c r="H63" s="1">
        <f t="shared" si="2"/>
        <v>0</v>
      </c>
      <c r="I63" s="1">
        <f t="shared" si="3"/>
        <v>0</v>
      </c>
      <c r="J63" s="4"/>
      <c r="K63" s="4"/>
      <c r="L63" s="4"/>
      <c r="M63" s="4"/>
      <c r="N63" s="4"/>
      <c r="O63" s="4"/>
      <c r="P63" s="4"/>
    </row>
    <row r="64" spans="2:16">
      <c r="B64" s="4" t="s">
        <v>23</v>
      </c>
      <c r="C64" s="4"/>
      <c r="D64" s="24">
        <f>G47</f>
        <v>12</v>
      </c>
      <c r="E64" s="11" t="s">
        <v>21</v>
      </c>
      <c r="F64" s="1">
        <f>'1. MaterialCost'!F24</f>
        <v>0.5</v>
      </c>
      <c r="G64" s="1">
        <f t="shared" si="1"/>
        <v>6</v>
      </c>
      <c r="H64" s="1">
        <f t="shared" si="2"/>
        <v>3</v>
      </c>
      <c r="I64" s="1">
        <f t="shared" si="3"/>
        <v>9.3749999999999997E-3</v>
      </c>
      <c r="J64" s="4"/>
      <c r="K64" s="4"/>
      <c r="L64" s="4"/>
      <c r="M64" s="4"/>
      <c r="N64" s="4"/>
      <c r="O64" s="4"/>
      <c r="P64" s="4"/>
    </row>
    <row r="65" spans="2:16">
      <c r="B65" s="4" t="s">
        <v>26</v>
      </c>
      <c r="C65" s="4"/>
      <c r="D65" s="2">
        <f>G48/72</f>
        <v>0.29166666666666669</v>
      </c>
      <c r="E65" s="34" t="s">
        <v>27</v>
      </c>
      <c r="F65" s="1">
        <f>'1. MaterialCost'!F28</f>
        <v>0.6</v>
      </c>
      <c r="G65" s="1">
        <f t="shared" si="1"/>
        <v>0.17500000000000002</v>
      </c>
      <c r="H65" s="1">
        <f t="shared" si="2"/>
        <v>8.7500000000000008E-2</v>
      </c>
      <c r="I65" s="1">
        <f t="shared" si="3"/>
        <v>2.7343750000000003E-4</v>
      </c>
      <c r="J65" s="4"/>
      <c r="K65" s="4"/>
      <c r="L65" s="4"/>
      <c r="M65" s="4"/>
      <c r="N65" s="4"/>
      <c r="O65" s="4"/>
      <c r="P65" s="4"/>
    </row>
    <row r="66" spans="2:16">
      <c r="B66" s="4" t="s">
        <v>97</v>
      </c>
      <c r="C66" s="4"/>
      <c r="D66" s="3">
        <f>(IF(F8=1,(((F5/F9)+1)-(F26+F27+F28+F29)),0)-D67)</f>
        <v>203.2</v>
      </c>
      <c r="E66" s="11" t="s">
        <v>21</v>
      </c>
      <c r="F66" s="1">
        <f>'1. MaterialCost'!F18</f>
        <v>2.2000000000000002</v>
      </c>
      <c r="G66" s="1">
        <f t="shared" si="1"/>
        <v>447.04</v>
      </c>
      <c r="H66" s="1">
        <f t="shared" si="2"/>
        <v>223.52</v>
      </c>
      <c r="I66" s="1">
        <f t="shared" si="3"/>
        <v>0.69850000000000001</v>
      </c>
      <c r="J66" s="4"/>
      <c r="K66" s="4">
        <f>IF(AND(F8=1,F11&gt;0),(((F5/F9)+1)-(F26+F27+F28+F29)),0)</f>
        <v>0</v>
      </c>
      <c r="L66" s="4" t="s">
        <v>99</v>
      </c>
      <c r="M66" s="4"/>
      <c r="N66" s="4"/>
      <c r="O66" s="4"/>
      <c r="P66" s="4"/>
    </row>
    <row r="67" spans="2:16">
      <c r="B67" s="4" t="s">
        <v>98</v>
      </c>
      <c r="C67" s="4"/>
      <c r="D67" s="3">
        <f>IF(F8=2,(((F5/F9)+1)-(F26+F27+F28+F29)),K11)</f>
        <v>0</v>
      </c>
      <c r="E67" s="11" t="s">
        <v>21</v>
      </c>
      <c r="F67" s="1">
        <f>'1. MaterialCost'!F17</f>
        <v>2.2000000000000002</v>
      </c>
      <c r="G67" s="1">
        <f t="shared" si="1"/>
        <v>0</v>
      </c>
      <c r="H67" s="1">
        <f t="shared" si="2"/>
        <v>0</v>
      </c>
      <c r="I67" s="1">
        <f t="shared" si="3"/>
        <v>0</v>
      </c>
      <c r="J67" s="4"/>
      <c r="K67" s="4"/>
      <c r="L67" s="4"/>
      <c r="M67" s="4"/>
      <c r="N67" s="4"/>
      <c r="O67" s="4"/>
      <c r="P67" s="4"/>
    </row>
    <row r="68" spans="2:16">
      <c r="B68" s="4" t="s">
        <v>32</v>
      </c>
      <c r="C68" s="4"/>
      <c r="D68" s="3"/>
      <c r="E68" s="4"/>
      <c r="F68" s="1"/>
      <c r="G68" s="1"/>
      <c r="H68" s="1"/>
      <c r="I68" s="1"/>
      <c r="J68" s="4"/>
      <c r="K68" s="4"/>
      <c r="L68" s="4"/>
      <c r="M68" s="4"/>
      <c r="N68" s="4"/>
      <c r="O68" s="4"/>
      <c r="P68" s="4"/>
    </row>
    <row r="69" spans="2:16">
      <c r="B69" s="4" t="s">
        <v>14</v>
      </c>
      <c r="C69" s="4"/>
      <c r="D69" s="2">
        <f>((F5*F13)/'1. MaterialCost'!D13)</f>
        <v>16</v>
      </c>
      <c r="E69" s="11" t="s">
        <v>11</v>
      </c>
      <c r="F69" s="1">
        <f>'1. MaterialCost'!F13</f>
        <v>10</v>
      </c>
      <c r="G69" s="1">
        <f t="shared" ref="G69:G81" si="4">(D69*F69)</f>
        <v>160</v>
      </c>
      <c r="H69" s="1">
        <f t="shared" ref="H69:H81" si="5">(G69/$D$55)</f>
        <v>80</v>
      </c>
      <c r="I69" s="1">
        <f t="shared" ref="I69:I81" si="6">(G69/$F$6)</f>
        <v>0.25</v>
      </c>
      <c r="J69" s="4"/>
      <c r="K69" s="4"/>
      <c r="L69" s="4"/>
      <c r="M69" s="4"/>
      <c r="N69" s="4"/>
      <c r="O69" s="4"/>
      <c r="P69" s="4"/>
    </row>
    <row r="70" spans="2:16">
      <c r="B70" s="4" t="s">
        <v>33</v>
      </c>
      <c r="C70" s="4"/>
      <c r="D70" s="3">
        <f>F15</f>
        <v>1</v>
      </c>
      <c r="E70" s="11" t="s">
        <v>21</v>
      </c>
      <c r="F70" s="1">
        <f>'1. MaterialCost'!F33</f>
        <v>9</v>
      </c>
      <c r="G70" s="1">
        <f t="shared" si="4"/>
        <v>9</v>
      </c>
      <c r="H70" s="1">
        <f t="shared" si="5"/>
        <v>4.5</v>
      </c>
      <c r="I70" s="1">
        <f t="shared" si="6"/>
        <v>1.40625E-2</v>
      </c>
      <c r="J70" s="4"/>
      <c r="K70" s="4"/>
      <c r="L70" s="4"/>
      <c r="M70" s="4"/>
      <c r="N70" s="4"/>
      <c r="O70" s="4"/>
      <c r="P70" s="4"/>
    </row>
    <row r="71" spans="2:16">
      <c r="B71" s="4" t="s">
        <v>34</v>
      </c>
      <c r="C71" s="4"/>
      <c r="D71" s="3">
        <f>F16</f>
        <v>1</v>
      </c>
      <c r="E71" s="11" t="s">
        <v>21</v>
      </c>
      <c r="F71" s="1">
        <f>'1. MaterialCost'!F34</f>
        <v>5</v>
      </c>
      <c r="G71" s="1">
        <f t="shared" si="4"/>
        <v>5</v>
      </c>
      <c r="H71" s="1">
        <f t="shared" si="5"/>
        <v>2.5</v>
      </c>
      <c r="I71" s="1">
        <f t="shared" si="6"/>
        <v>7.8125E-3</v>
      </c>
      <c r="J71" s="4"/>
      <c r="K71" s="4"/>
      <c r="L71" s="4"/>
      <c r="M71" s="4"/>
      <c r="N71" s="4"/>
      <c r="O71" s="4"/>
      <c r="P71" s="4"/>
    </row>
    <row r="72" spans="2:16">
      <c r="B72" s="4" t="s">
        <v>35</v>
      </c>
      <c r="C72" s="4"/>
      <c r="D72" s="3">
        <f>F17</f>
        <v>1</v>
      </c>
      <c r="E72" s="11" t="s">
        <v>21</v>
      </c>
      <c r="F72" s="1">
        <f>'1. MaterialCost'!F35</f>
        <v>250</v>
      </c>
      <c r="G72" s="1">
        <f t="shared" si="4"/>
        <v>250</v>
      </c>
      <c r="H72" s="1">
        <f t="shared" si="5"/>
        <v>125</v>
      </c>
      <c r="I72" s="1">
        <f t="shared" si="6"/>
        <v>0.390625</v>
      </c>
      <c r="J72" s="4"/>
      <c r="K72" s="4"/>
      <c r="L72" s="4"/>
      <c r="M72" s="4"/>
      <c r="N72" s="4"/>
      <c r="O72" s="4"/>
      <c r="P72" s="4"/>
    </row>
    <row r="73" spans="2:16">
      <c r="B73" s="4" t="s">
        <v>36</v>
      </c>
      <c r="C73" s="4"/>
      <c r="D73" s="3">
        <f>F18</f>
        <v>1</v>
      </c>
      <c r="E73" s="11" t="s">
        <v>21</v>
      </c>
      <c r="F73" s="1">
        <f>'1. MaterialCost'!F36</f>
        <v>55</v>
      </c>
      <c r="G73" s="1">
        <f t="shared" si="4"/>
        <v>55</v>
      </c>
      <c r="H73" s="1">
        <f t="shared" si="5"/>
        <v>27.5</v>
      </c>
      <c r="I73" s="1">
        <f t="shared" si="6"/>
        <v>8.59375E-2</v>
      </c>
      <c r="J73" s="4"/>
      <c r="K73" s="4"/>
      <c r="L73" s="4"/>
      <c r="M73" s="4"/>
      <c r="N73" s="4"/>
      <c r="O73" s="4"/>
      <c r="P73" s="4"/>
    </row>
    <row r="74" spans="2:16">
      <c r="B74" s="4" t="s">
        <v>123</v>
      </c>
      <c r="C74" s="4"/>
      <c r="D74" s="24">
        <f>(((F5/F9)+1)*F13)</f>
        <v>424.4</v>
      </c>
      <c r="E74" s="11" t="s">
        <v>21</v>
      </c>
      <c r="F74" s="1">
        <f>'1. MaterialCost'!F37</f>
        <v>0.2</v>
      </c>
      <c r="G74" s="1">
        <f t="shared" si="4"/>
        <v>84.88</v>
      </c>
      <c r="H74" s="1">
        <f t="shared" si="5"/>
        <v>42.44</v>
      </c>
      <c r="I74" s="1">
        <f t="shared" si="6"/>
        <v>0.13262499999999999</v>
      </c>
      <c r="J74" s="4"/>
      <c r="K74" s="4"/>
      <c r="L74" s="4"/>
      <c r="M74" s="4"/>
      <c r="N74" s="4"/>
      <c r="O74" s="4"/>
      <c r="P74" s="4"/>
    </row>
    <row r="75" spans="2:16">
      <c r="B75" s="4" t="s">
        <v>38</v>
      </c>
      <c r="C75" s="4"/>
      <c r="D75" s="3">
        <f>F19</f>
        <v>1</v>
      </c>
      <c r="E75" s="11" t="s">
        <v>21</v>
      </c>
      <c r="F75" s="1">
        <f>'1. MaterialCost'!F38</f>
        <v>32</v>
      </c>
      <c r="G75" s="1">
        <f t="shared" si="4"/>
        <v>32</v>
      </c>
      <c r="H75" s="1">
        <f t="shared" si="5"/>
        <v>16</v>
      </c>
      <c r="I75" s="1">
        <f t="shared" si="6"/>
        <v>0.05</v>
      </c>
      <c r="J75" s="4"/>
      <c r="K75" s="4"/>
      <c r="L75" s="4"/>
      <c r="M75" s="4"/>
      <c r="N75" s="4"/>
      <c r="O75" s="4"/>
      <c r="P75" s="4"/>
    </row>
    <row r="76" spans="2:16">
      <c r="B76" s="4" t="s">
        <v>39</v>
      </c>
      <c r="C76" s="4"/>
      <c r="D76" s="3">
        <f>F20</f>
        <v>4</v>
      </c>
      <c r="E76" s="11" t="s">
        <v>21</v>
      </c>
      <c r="F76" s="1">
        <f>'1. MaterialCost'!F39</f>
        <v>3.25</v>
      </c>
      <c r="G76" s="1">
        <f t="shared" si="4"/>
        <v>13</v>
      </c>
      <c r="H76" s="1">
        <f t="shared" si="5"/>
        <v>6.5</v>
      </c>
      <c r="I76" s="1">
        <f t="shared" si="6"/>
        <v>2.0312500000000001E-2</v>
      </c>
      <c r="J76" s="4"/>
      <c r="K76" s="4"/>
      <c r="L76" s="4"/>
      <c r="M76" s="4"/>
      <c r="N76" s="4"/>
      <c r="O76" s="4"/>
      <c r="P76" s="4"/>
    </row>
    <row r="77" spans="2:16">
      <c r="B77" s="4" t="s">
        <v>40</v>
      </c>
      <c r="C77" s="4"/>
      <c r="D77" s="3">
        <f>F21</f>
        <v>8</v>
      </c>
      <c r="E77" s="11" t="s">
        <v>21</v>
      </c>
      <c r="F77" s="1">
        <f>'1. MaterialCost'!F40</f>
        <v>2.75</v>
      </c>
      <c r="G77" s="1">
        <f t="shared" si="4"/>
        <v>22</v>
      </c>
      <c r="H77" s="1">
        <f t="shared" si="5"/>
        <v>11</v>
      </c>
      <c r="I77" s="1">
        <f t="shared" si="6"/>
        <v>3.4375000000000003E-2</v>
      </c>
      <c r="J77" s="4"/>
      <c r="K77" s="4"/>
      <c r="L77" s="4"/>
      <c r="M77" s="4"/>
      <c r="N77" s="4"/>
      <c r="O77" s="4"/>
      <c r="P77" s="4"/>
    </row>
    <row r="78" spans="2:16">
      <c r="B78" s="4" t="s">
        <v>41</v>
      </c>
      <c r="C78" s="4"/>
      <c r="D78" s="3">
        <f>F22</f>
        <v>1</v>
      </c>
      <c r="E78" s="11" t="s">
        <v>21</v>
      </c>
      <c r="F78" s="1">
        <f>'1. MaterialCost'!F41</f>
        <v>20</v>
      </c>
      <c r="G78" s="1">
        <f t="shared" si="4"/>
        <v>20</v>
      </c>
      <c r="H78" s="1">
        <f t="shared" si="5"/>
        <v>10</v>
      </c>
      <c r="I78" s="1">
        <f t="shared" si="6"/>
        <v>3.125E-2</v>
      </c>
      <c r="J78" s="4"/>
      <c r="K78" s="4"/>
      <c r="L78" s="4"/>
      <c r="M78" s="4"/>
      <c r="N78" s="4"/>
      <c r="O78" s="4"/>
      <c r="P78" s="4"/>
    </row>
    <row r="79" spans="2:16">
      <c r="B79" s="4" t="s">
        <v>104</v>
      </c>
      <c r="C79" s="4"/>
      <c r="D79" s="3">
        <f>F24</f>
        <v>4</v>
      </c>
      <c r="E79" s="11" t="s">
        <v>21</v>
      </c>
      <c r="F79" s="1">
        <f>'1. MaterialCost'!F29</f>
        <v>45</v>
      </c>
      <c r="G79" s="1">
        <f t="shared" si="4"/>
        <v>180</v>
      </c>
      <c r="H79" s="1">
        <f t="shared" si="5"/>
        <v>90</v>
      </c>
      <c r="I79" s="1">
        <f t="shared" si="6"/>
        <v>0.28125</v>
      </c>
      <c r="J79" s="4"/>
      <c r="K79" s="4"/>
      <c r="L79" s="4"/>
      <c r="M79" s="4"/>
      <c r="N79" s="4"/>
      <c r="O79" s="4"/>
      <c r="P79" s="4"/>
    </row>
    <row r="80" spans="2:16">
      <c r="B80" s="4" t="s">
        <v>105</v>
      </c>
      <c r="C80" s="4"/>
      <c r="D80" s="3">
        <f>F25</f>
        <v>1</v>
      </c>
      <c r="E80" s="11" t="s">
        <v>21</v>
      </c>
      <c r="F80" s="1">
        <f>'1. MaterialCost'!F30</f>
        <v>50</v>
      </c>
      <c r="G80" s="1">
        <f t="shared" si="4"/>
        <v>50</v>
      </c>
      <c r="H80" s="1">
        <f t="shared" si="5"/>
        <v>25</v>
      </c>
      <c r="I80" s="1">
        <f t="shared" si="6"/>
        <v>7.8125E-2</v>
      </c>
      <c r="J80" s="4"/>
      <c r="K80" s="4"/>
      <c r="L80" s="4"/>
      <c r="M80" s="4"/>
      <c r="N80" s="4"/>
      <c r="O80" s="4"/>
      <c r="P80" s="4"/>
    </row>
    <row r="81" spans="2:16">
      <c r="B81" s="4" t="s">
        <v>24</v>
      </c>
      <c r="C81" s="4"/>
      <c r="D81" s="3">
        <f>$D$55</f>
        <v>2</v>
      </c>
      <c r="E81" s="11" t="s">
        <v>44</v>
      </c>
      <c r="F81" s="1">
        <f>F23</f>
        <v>100</v>
      </c>
      <c r="G81" s="1">
        <f t="shared" si="4"/>
        <v>200</v>
      </c>
      <c r="H81" s="1">
        <f t="shared" si="5"/>
        <v>100</v>
      </c>
      <c r="I81" s="1">
        <f t="shared" si="6"/>
        <v>0.3125</v>
      </c>
      <c r="J81" s="4"/>
      <c r="K81" s="4"/>
      <c r="L81" s="4"/>
      <c r="M81" s="4"/>
      <c r="N81" s="4"/>
      <c r="O81" s="4"/>
      <c r="P81" s="4"/>
    </row>
    <row r="82" spans="2:16">
      <c r="B82" s="4"/>
      <c r="C82" s="4"/>
      <c r="D82" s="4"/>
      <c r="E82" s="4"/>
      <c r="F82" s="4"/>
      <c r="G82" s="18" t="s">
        <v>143</v>
      </c>
      <c r="H82" s="18" t="s">
        <v>144</v>
      </c>
      <c r="I82" s="18" t="s">
        <v>127</v>
      </c>
      <c r="J82" s="4"/>
      <c r="K82" s="4"/>
      <c r="L82" s="4"/>
      <c r="M82" s="4"/>
      <c r="N82" s="4"/>
      <c r="O82" s="4"/>
      <c r="P82" s="4"/>
    </row>
    <row r="83" spans="2:16">
      <c r="B83" s="4" t="s">
        <v>106</v>
      </c>
      <c r="C83" s="4"/>
      <c r="D83" s="4"/>
      <c r="E83" s="4"/>
      <c r="F83" s="4"/>
      <c r="G83" s="1">
        <f>SUM(G60:G81)</f>
        <v>1930.8219230769232</v>
      </c>
      <c r="H83" s="1">
        <f>(G83/$D$55)</f>
        <v>965.41096153846161</v>
      </c>
      <c r="I83" s="1">
        <f>(G83/$F$6)</f>
        <v>3.0169092548076923</v>
      </c>
      <c r="J83" s="4"/>
      <c r="K83" s="4"/>
      <c r="L83" s="4"/>
      <c r="M83" s="4"/>
      <c r="N83" s="4"/>
      <c r="O83" s="4"/>
      <c r="P83" s="4"/>
    </row>
    <row r="84" spans="2:16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>
      <c r="B85" s="4" t="s">
        <v>107</v>
      </c>
      <c r="C85" s="4"/>
      <c r="D85" s="3">
        <f>$D$55</f>
        <v>2</v>
      </c>
      <c r="E85" s="11" t="s">
        <v>44</v>
      </c>
      <c r="F85" s="1">
        <f>'1. MaterialCost'!F50</f>
        <v>1</v>
      </c>
      <c r="G85" s="1">
        <f>($D$55*F85)</f>
        <v>2</v>
      </c>
      <c r="H85" s="1">
        <f>(G85/$D$55)</f>
        <v>1</v>
      </c>
      <c r="I85" s="1">
        <f>(G85/$F$6)</f>
        <v>3.1250000000000002E-3</v>
      </c>
      <c r="J85" s="4"/>
      <c r="K85" s="4"/>
      <c r="L85" s="4"/>
      <c r="M85" s="4"/>
      <c r="N85" s="4"/>
      <c r="O85" s="4"/>
      <c r="P85" s="4"/>
    </row>
    <row r="86" spans="2:16">
      <c r="B86" s="4" t="s">
        <v>108</v>
      </c>
      <c r="C86" s="4"/>
      <c r="D86" s="3">
        <f>$D$55</f>
        <v>2</v>
      </c>
      <c r="E86" s="11" t="s">
        <v>44</v>
      </c>
      <c r="F86" s="1">
        <f>'1. MaterialCost'!F51</f>
        <v>175</v>
      </c>
      <c r="G86" s="1">
        <f>($D$55*F86)</f>
        <v>350</v>
      </c>
      <c r="H86" s="1">
        <f>(G86/$D$55)</f>
        <v>175</v>
      </c>
      <c r="I86" s="1">
        <f>(G86/$F$6)</f>
        <v>0.546875</v>
      </c>
      <c r="J86" s="4"/>
      <c r="K86" s="4"/>
      <c r="L86" s="4"/>
      <c r="M86" s="4"/>
      <c r="N86" s="4"/>
      <c r="O86" s="4"/>
      <c r="P86" s="4"/>
    </row>
    <row r="87" spans="2:16">
      <c r="B87" s="10" t="s">
        <v>156</v>
      </c>
      <c r="C87" s="4"/>
      <c r="D87" s="3">
        <f>$D$55</f>
        <v>2</v>
      </c>
      <c r="E87" s="11" t="s">
        <v>44</v>
      </c>
      <c r="F87" s="1">
        <f>'1. MaterialCost'!F52</f>
        <v>200</v>
      </c>
      <c r="G87" s="1">
        <f>($D$55*F87)</f>
        <v>400</v>
      </c>
      <c r="H87" s="1">
        <f>(G87/$D$55)</f>
        <v>200</v>
      </c>
      <c r="I87" s="1">
        <f>(G87/$F$6)</f>
        <v>0.625</v>
      </c>
      <c r="J87" s="4"/>
      <c r="K87" s="4"/>
      <c r="L87" s="4"/>
      <c r="M87" s="4"/>
      <c r="N87" s="4"/>
      <c r="O87" s="4"/>
      <c r="P87" s="4"/>
    </row>
    <row r="88" spans="2:16">
      <c r="B88" s="4" t="s">
        <v>157</v>
      </c>
      <c r="C88" s="4"/>
      <c r="D88" s="3">
        <f>$D$55</f>
        <v>2</v>
      </c>
      <c r="E88" s="11" t="s">
        <v>44</v>
      </c>
      <c r="F88" s="1">
        <f>'1. MaterialCost'!F53</f>
        <v>0</v>
      </c>
      <c r="G88" s="1">
        <f>($D$55*F88)</f>
        <v>0</v>
      </c>
      <c r="H88" s="1">
        <f>(G88/$D$55)</f>
        <v>0</v>
      </c>
      <c r="I88" s="1">
        <f>(G88/$F$6)</f>
        <v>0</v>
      </c>
      <c r="J88" s="4"/>
      <c r="K88" s="4"/>
      <c r="L88" s="4"/>
      <c r="M88" s="4"/>
      <c r="N88" s="4"/>
      <c r="O88" s="4"/>
      <c r="P88" s="4"/>
    </row>
    <row r="89" spans="2:16">
      <c r="B89" s="4"/>
      <c r="C89" s="4"/>
      <c r="D89" s="4"/>
      <c r="E89" s="4"/>
      <c r="F89" s="4"/>
      <c r="G89" s="18" t="s">
        <v>143</v>
      </c>
      <c r="H89" s="18" t="s">
        <v>144</v>
      </c>
      <c r="I89" s="18" t="s">
        <v>127</v>
      </c>
      <c r="J89" s="4"/>
      <c r="K89" s="4"/>
      <c r="L89" s="4"/>
      <c r="M89" s="4"/>
      <c r="N89" s="4"/>
      <c r="O89" s="4"/>
      <c r="P89" s="4"/>
    </row>
    <row r="90" spans="2:16">
      <c r="B90" s="4" t="s">
        <v>109</v>
      </c>
      <c r="C90" s="4"/>
      <c r="D90" s="4"/>
      <c r="E90" s="4"/>
      <c r="F90" s="4"/>
      <c r="G90" s="1">
        <f>SUM(G83,G85:G88)</f>
        <v>2682.8219230769232</v>
      </c>
      <c r="H90" s="1">
        <f>(G90/$D$55)</f>
        <v>1341.4109615384616</v>
      </c>
      <c r="I90" s="1">
        <f>(G90/$F$6)</f>
        <v>4.1919092548076922</v>
      </c>
      <c r="J90" s="4"/>
      <c r="K90" s="4"/>
      <c r="L90" s="4"/>
      <c r="M90" s="4"/>
      <c r="N90" s="4"/>
      <c r="O90" s="4"/>
      <c r="P90" s="4"/>
    </row>
    <row r="91" spans="2:16">
      <c r="B91" s="4" t="s">
        <v>110</v>
      </c>
      <c r="C91" s="4"/>
      <c r="D91" s="4"/>
      <c r="E91" s="4"/>
      <c r="F91" s="4"/>
      <c r="G91" s="1">
        <f>IF(L91&gt;F32,F32,L91)</f>
        <v>0</v>
      </c>
      <c r="H91" s="1">
        <f>(G91/$D$55)</f>
        <v>0</v>
      </c>
      <c r="I91" s="1">
        <f>(G91/$F$6)</f>
        <v>0</v>
      </c>
      <c r="J91" s="4"/>
      <c r="K91" s="4"/>
      <c r="L91" s="2">
        <f>(G90*F31*0.01)</f>
        <v>0</v>
      </c>
      <c r="M91" s="4"/>
      <c r="N91" s="4"/>
      <c r="O91" s="4"/>
      <c r="P91" s="4"/>
    </row>
    <row r="92" spans="2:16">
      <c r="B92" s="4" t="s">
        <v>111</v>
      </c>
      <c r="C92" s="4"/>
      <c r="D92" s="4"/>
      <c r="E92" s="4"/>
      <c r="F92" s="4"/>
      <c r="G92" s="1">
        <f>(G90-G91)</f>
        <v>2682.8219230769232</v>
      </c>
      <c r="H92" s="1">
        <f>(G92/$D$55)</f>
        <v>1341.4109615384616</v>
      </c>
      <c r="I92" s="1">
        <f>(G92/$F$6)</f>
        <v>4.1919092548076922</v>
      </c>
      <c r="J92" s="4"/>
      <c r="K92" s="4"/>
      <c r="L92" s="4"/>
      <c r="M92" s="4"/>
      <c r="N92" s="4"/>
      <c r="O92" s="4"/>
      <c r="P92" s="4"/>
    </row>
    <row r="93" spans="2:16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>
      <c r="B95" s="37" t="s">
        <v>124</v>
      </c>
      <c r="C95" s="37"/>
      <c r="D95" s="37"/>
      <c r="E95" s="37"/>
      <c r="F95" s="37"/>
      <c r="G95" s="37"/>
      <c r="H95" s="4"/>
      <c r="I95" s="4"/>
      <c r="J95" s="4"/>
      <c r="K95" s="4"/>
      <c r="L95" s="4"/>
      <c r="M95" s="4"/>
      <c r="N95" s="4"/>
      <c r="O95" s="4"/>
      <c r="P95" s="4"/>
    </row>
    <row r="96" spans="2:16">
      <c r="B96" s="4"/>
      <c r="C96" s="4"/>
      <c r="D96" s="4"/>
      <c r="E96" s="6" t="s">
        <v>74</v>
      </c>
      <c r="F96" s="6" t="s">
        <v>113</v>
      </c>
      <c r="G96" s="6" t="s">
        <v>114</v>
      </c>
      <c r="H96" s="4"/>
      <c r="I96" s="4"/>
      <c r="J96" s="4"/>
      <c r="K96" s="4"/>
      <c r="L96" s="4"/>
      <c r="M96" s="4"/>
      <c r="N96" s="4"/>
      <c r="O96" s="4"/>
      <c r="P96" s="4"/>
    </row>
    <row r="97" spans="2:16">
      <c r="B97" s="4" t="s">
        <v>115</v>
      </c>
      <c r="C97" s="4"/>
      <c r="D97" s="4"/>
      <c r="E97" s="18" t="s">
        <v>127</v>
      </c>
      <c r="F97" s="18" t="s">
        <v>127</v>
      </c>
      <c r="G97" s="18" t="s">
        <v>127</v>
      </c>
      <c r="H97" s="4"/>
      <c r="I97" s="4"/>
      <c r="J97" s="4"/>
      <c r="K97" s="4"/>
      <c r="L97" s="4"/>
      <c r="M97" s="4"/>
      <c r="N97" s="4"/>
      <c r="O97" s="4"/>
      <c r="P97" s="4"/>
    </row>
    <row r="98" spans="2:16">
      <c r="B98" s="4" t="s">
        <v>145</v>
      </c>
      <c r="C98" s="4"/>
      <c r="D98" s="4"/>
      <c r="E98" s="1">
        <f>(G92/F30)</f>
        <v>134.14109615384615</v>
      </c>
      <c r="F98" s="1">
        <f>(E98/$D$55)</f>
        <v>67.070548076923075</v>
      </c>
      <c r="G98" s="1">
        <f>(E98/$F$6)</f>
        <v>0.2095954627403846</v>
      </c>
      <c r="H98" s="4"/>
      <c r="I98" s="4"/>
      <c r="J98" s="4"/>
      <c r="K98" s="4"/>
      <c r="L98" s="4"/>
      <c r="M98" s="4"/>
      <c r="N98" s="4"/>
      <c r="O98" s="4"/>
      <c r="P98" s="4"/>
    </row>
    <row r="99" spans="2:16">
      <c r="B99" s="4" t="s">
        <v>146</v>
      </c>
      <c r="C99" s="4"/>
      <c r="D99" s="4"/>
      <c r="E99" s="2">
        <f>((G92/2)*'1. MaterialCost'!F55*0.01)</f>
        <v>67.070548076923075</v>
      </c>
      <c r="F99" s="2">
        <f>(E99/$D$55)</f>
        <v>33.535274038461537</v>
      </c>
      <c r="G99" s="2">
        <f>(E99/$F$6)</f>
        <v>0.1047977313701923</v>
      </c>
      <c r="H99" s="4"/>
      <c r="I99" s="4"/>
      <c r="J99" s="4"/>
      <c r="K99" s="4"/>
      <c r="L99" s="4"/>
      <c r="M99" s="4"/>
      <c r="N99" s="4"/>
      <c r="O99" s="4"/>
      <c r="P99" s="4"/>
    </row>
    <row r="100" spans="2:16">
      <c r="B100" s="4" t="s">
        <v>116</v>
      </c>
      <c r="C100" s="4"/>
      <c r="D100" s="4"/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4"/>
    </row>
    <row r="101" spans="2:16">
      <c r="B101" s="4" t="s">
        <v>75</v>
      </c>
      <c r="C101" s="4"/>
      <c r="D101" s="4"/>
      <c r="E101" s="2">
        <f>(F101*$D$55)</f>
        <v>150</v>
      </c>
      <c r="F101" s="2">
        <f>F34</f>
        <v>75</v>
      </c>
      <c r="G101" s="2">
        <f>(E101/$F$6)</f>
        <v>0.234375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2:16">
      <c r="B102" s="4" t="s">
        <v>45</v>
      </c>
      <c r="C102" s="4"/>
      <c r="D102" s="4"/>
      <c r="E102" s="2">
        <f>(F102*$D$55)</f>
        <v>40</v>
      </c>
      <c r="F102" s="2">
        <f>F35</f>
        <v>20</v>
      </c>
      <c r="G102" s="2">
        <f>(E102/$F$6)</f>
        <v>6.25E-2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2:16">
      <c r="B103" s="4" t="s">
        <v>158</v>
      </c>
      <c r="C103" s="4"/>
      <c r="D103" s="4"/>
      <c r="E103" s="2">
        <f>((E101+E102)*0.5*'1. MaterialCost'!F56*0.01)</f>
        <v>5.7</v>
      </c>
      <c r="F103" s="2">
        <f>(E103/$D$55)</f>
        <v>2.85</v>
      </c>
      <c r="G103" s="2">
        <f>(E103/$F$6)</f>
        <v>8.906250000000001E-3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2:16">
      <c r="B104" s="4" t="s">
        <v>79</v>
      </c>
      <c r="C104" s="4"/>
      <c r="D104" s="4"/>
      <c r="E104" s="2">
        <f>(F104*$D$55)</f>
        <v>60</v>
      </c>
      <c r="F104" s="2">
        <f>F36</f>
        <v>30</v>
      </c>
      <c r="G104" s="2">
        <f>(E104/$F$6)</f>
        <v>9.375E-2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2:16">
      <c r="B105" s="4"/>
      <c r="C105" s="4"/>
      <c r="D105" s="4"/>
      <c r="E105" s="18" t="s">
        <v>127</v>
      </c>
      <c r="F105" s="18" t="s">
        <v>127</v>
      </c>
      <c r="G105" s="18" t="s">
        <v>127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2:16">
      <c r="B106" s="4" t="s">
        <v>117</v>
      </c>
      <c r="C106" s="4"/>
      <c r="D106" s="4"/>
      <c r="E106" s="1">
        <f>SUM(E98:E104)</f>
        <v>456.91164423076924</v>
      </c>
      <c r="F106" s="1">
        <f>SUM(F98:F104)</f>
        <v>228.45582211538462</v>
      </c>
      <c r="G106" s="1">
        <f>SUM(G98:G104)</f>
        <v>0.71392444411057687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2:16">
      <c r="B107" s="7"/>
      <c r="C107" s="7"/>
      <c r="D107" s="7"/>
      <c r="E107" s="7"/>
      <c r="F107" s="7"/>
      <c r="G107" s="7"/>
      <c r="H107" s="7"/>
      <c r="I107" s="7"/>
      <c r="J107" s="4"/>
      <c r="K107" s="4"/>
      <c r="L107" s="4"/>
      <c r="M107" s="4"/>
      <c r="N107" s="4"/>
      <c r="O107" s="4"/>
      <c r="P107" s="4"/>
    </row>
    <row r="108" spans="2:16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</sheetData>
  <sheetProtection sheet="1" objects="1" scenarios="1"/>
  <mergeCells count="4">
    <mergeCell ref="B95:G95"/>
    <mergeCell ref="B1:F1"/>
    <mergeCell ref="G57:H57"/>
    <mergeCell ref="B53:I53"/>
  </mergeCells>
  <phoneticPr fontId="0" type="noConversion"/>
  <printOptions horizontalCentered="1"/>
  <pageMargins left="1" right="0" top="0.5" bottom="1" header="0.5" footer="0.5"/>
  <pageSetup scale="70" orientation="portrait" horizontalDpi="4294967293" verticalDpi="300" r:id="rId1"/>
  <headerFooter alignWithMargins="0">
    <oddFooter>&amp;L &amp;F&amp;R&amp;10Page &amp;[Page of  &amp;N
&amp;A</oddFooter>
  </headerFooter>
  <rowBreaks count="1" manualBreakCount="1">
    <brk id="51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Dialogs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1. MaterialCost</vt:lpstr>
      <vt:lpstr>2. Regular Fencing</vt:lpstr>
      <vt:lpstr>3. Electric Fencing</vt:lpstr>
      <vt:lpstr>Dlg_Data</vt:lpstr>
      <vt:lpstr>Dlg_Print</vt:lpstr>
      <vt:lpstr>Dlg_Ind</vt:lpstr>
      <vt:lpstr>annelect</vt:lpstr>
      <vt:lpstr>annreg</vt:lpstr>
      <vt:lpstr>braceelect</vt:lpstr>
      <vt:lpstr>bracereg</vt:lpstr>
      <vt:lpstr>fence</vt:lpstr>
      <vt:lpstr>invelect</vt:lpstr>
      <vt:lpstr>invreg</vt:lpstr>
      <vt:lpstr>'1. MaterialCost'!Print_Area</vt:lpstr>
      <vt:lpstr>'2. Regular Fencing'!Print_Area</vt:lpstr>
      <vt:lpstr>'3. Electric Fencing'!Print_Area</vt:lpstr>
      <vt:lpstr>reqelect</vt:lpstr>
      <vt:lpstr>reqreg</vt:lpstr>
    </vt:vector>
  </TitlesOfParts>
  <Company>Texas A&amp;M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M. McGrann</dc:creator>
  <cp:lastModifiedBy>James McGrann</cp:lastModifiedBy>
  <cp:lastPrinted>2014-10-01T22:20:23Z</cp:lastPrinted>
  <dcterms:created xsi:type="dcterms:W3CDTF">1997-05-28T18:32:41Z</dcterms:created>
  <dcterms:modified xsi:type="dcterms:W3CDTF">2014-11-04T09:20:34Z</dcterms:modified>
</cp:coreProperties>
</file>