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24226"/>
  <mc:AlternateContent xmlns:mc="http://schemas.openxmlformats.org/markup-compatibility/2006">
    <mc:Choice Requires="x15">
      <x15ac:absPath xmlns:x15ac="http://schemas.microsoft.com/office/spreadsheetml/2010/11/ac" url="C:\Users\jim\Documents\2016 TAMU Updates 8-8-2016\K. Preconditioning\"/>
    </mc:Choice>
  </mc:AlternateContent>
  <bookViews>
    <workbookView xWindow="0" yWindow="0" windowWidth="16457" windowHeight="5820" activeTab="3"/>
  </bookViews>
  <sheets>
    <sheet name="1. Vac 24" sheetId="6" r:id="rId1"/>
    <sheet name="2. Vac 34" sheetId="7" r:id="rId2"/>
    <sheet name="3. Vac 45" sheetId="5" r:id="rId3"/>
    <sheet name="4. Weight-Price SlideCalculator" sheetId="10" r:id="rId4"/>
    <sheet name="5. Vac. Summary" sheetId="9" r:id="rId5"/>
    <sheet name="Definitions" sheetId="3" r:id="rId6"/>
  </sheets>
  <definedNames>
    <definedName name="_xlnm.Print_Area" localSheetId="0">'1. Vac 24'!$B$1:$G$54</definedName>
    <definedName name="_xlnm.Print_Area" localSheetId="1">'2. Vac 34'!$B$1:$G$54</definedName>
    <definedName name="_xlnm.Print_Area" localSheetId="2">'3. Vac 45'!$B$1:$G$56</definedName>
    <definedName name="_xlnm.Print_Area" localSheetId="3">'4. Weight-Price SlideCalculator'!$B$2:$G$26</definedName>
    <definedName name="_xlnm.Print_Area" localSheetId="4">'5. Vac. Summary'!$A$1:$L$67</definedName>
    <definedName name="_xlnm.Print_Area" localSheetId="5">Definitions!$B$1:$B$55</definedName>
  </definedNames>
  <calcPr calcId="162913"/>
</workbook>
</file>

<file path=xl/calcChain.xml><?xml version="1.0" encoding="utf-8"?>
<calcChain xmlns="http://schemas.openxmlformats.org/spreadsheetml/2006/main">
  <c r="G15" i="10" l="1"/>
  <c r="G12" i="10"/>
  <c r="E18" i="10"/>
  <c r="G18" i="10" s="1"/>
  <c r="E14" i="10"/>
  <c r="G21" i="10"/>
  <c r="G20" i="10"/>
  <c r="I10" i="10"/>
  <c r="G10" i="10"/>
  <c r="D10" i="10"/>
  <c r="I9" i="10"/>
  <c r="G9" i="10"/>
  <c r="D9" i="10"/>
  <c r="I8" i="10"/>
  <c r="G8" i="10"/>
  <c r="D8" i="10"/>
  <c r="I7" i="10"/>
  <c r="G7" i="10"/>
  <c r="K8" i="10" s="1"/>
  <c r="H8" i="10" s="1"/>
  <c r="D7" i="10"/>
  <c r="K10" i="10" l="1"/>
  <c r="H10" i="10" s="1"/>
  <c r="K9" i="10"/>
  <c r="H9" i="10" s="1"/>
  <c r="C28" i="6"/>
  <c r="C28" i="7" l="1"/>
  <c r="C28" i="5" s="1"/>
  <c r="F18" i="6"/>
  <c r="F18" i="7"/>
  <c r="F27" i="7" s="1"/>
  <c r="C12" i="5" l="1"/>
  <c r="E19" i="10" s="1"/>
  <c r="G19" i="10" s="1"/>
  <c r="C12" i="7"/>
  <c r="F12" i="6"/>
  <c r="C8" i="9"/>
  <c r="C7" i="9"/>
  <c r="C46" i="7" l="1"/>
  <c r="C18" i="9"/>
  <c r="C2" i="9"/>
  <c r="C7" i="7"/>
  <c r="F7" i="7" s="1"/>
  <c r="C7" i="5"/>
  <c r="F7" i="5" s="1"/>
  <c r="F7" i="6"/>
  <c r="J58" i="9"/>
  <c r="F58" i="9"/>
  <c r="J31" i="9"/>
  <c r="F31" i="9"/>
  <c r="J29" i="9"/>
  <c r="F29" i="9"/>
  <c r="J28" i="9"/>
  <c r="F28" i="9"/>
  <c r="J25" i="9"/>
  <c r="J63" i="9" s="1"/>
  <c r="F25" i="9"/>
  <c r="F63" i="9" s="1"/>
  <c r="J24" i="9"/>
  <c r="F24" i="9"/>
  <c r="J22" i="9"/>
  <c r="F22" i="9"/>
  <c r="J19" i="9"/>
  <c r="C31" i="9"/>
  <c r="C28" i="9"/>
  <c r="C29" i="9"/>
  <c r="C25" i="9"/>
  <c r="C63" i="9" s="1"/>
  <c r="C24" i="9"/>
  <c r="C22" i="9"/>
  <c r="C58" i="9"/>
  <c r="J35" i="9"/>
  <c r="F35" i="9"/>
  <c r="C35" i="9"/>
  <c r="F18" i="9" l="1"/>
  <c r="D7" i="5"/>
  <c r="J18" i="9" s="1"/>
  <c r="C12" i="9" l="1"/>
  <c r="C11" i="9"/>
  <c r="C5" i="9"/>
  <c r="C4" i="9"/>
  <c r="C18" i="5"/>
  <c r="C17" i="5"/>
  <c r="C13" i="5"/>
  <c r="C10" i="5"/>
  <c r="E15" i="10" s="1"/>
  <c r="C9" i="5"/>
  <c r="C29" i="5" s="1"/>
  <c r="C18" i="7"/>
  <c r="C17" i="7"/>
  <c r="C13" i="7"/>
  <c r="C10" i="7"/>
  <c r="C9" i="7"/>
  <c r="F49" i="7"/>
  <c r="F41" i="9"/>
  <c r="F15" i="7"/>
  <c r="F12" i="7"/>
  <c r="F49" i="6"/>
  <c r="F27" i="6"/>
  <c r="C41" i="9" s="1"/>
  <c r="F15" i="6"/>
  <c r="C11" i="6"/>
  <c r="E16" i="10" l="1"/>
  <c r="D18" i="6"/>
  <c r="C11" i="5"/>
  <c r="C11" i="7"/>
  <c r="C6" i="9"/>
  <c r="D12" i="9" s="1"/>
  <c r="F17" i="7"/>
  <c r="F37" i="9" s="1"/>
  <c r="F17" i="6"/>
  <c r="F20" i="6"/>
  <c r="C38" i="9" s="1"/>
  <c r="D38" i="9" s="1"/>
  <c r="C24" i="6"/>
  <c r="C25" i="6" s="1"/>
  <c r="F20" i="7"/>
  <c r="F38" i="9" s="1"/>
  <c r="C24" i="7"/>
  <c r="I20" i="10" l="1"/>
  <c r="E22" i="10"/>
  <c r="L9" i="10"/>
  <c r="L8" i="10"/>
  <c r="L10" i="10"/>
  <c r="D18" i="7"/>
  <c r="C27" i="6"/>
  <c r="C21" i="9"/>
  <c r="C37" i="9"/>
  <c r="C25" i="7"/>
  <c r="C27" i="7" s="1"/>
  <c r="F22" i="6"/>
  <c r="D27" i="6"/>
  <c r="F22" i="7"/>
  <c r="F51" i="5"/>
  <c r="F18" i="5"/>
  <c r="F27" i="5" s="1"/>
  <c r="J41" i="9" s="1"/>
  <c r="F15" i="5"/>
  <c r="F12" i="5"/>
  <c r="D18" i="5"/>
  <c r="L13" i="10" l="1"/>
  <c r="E24" i="10" s="1"/>
  <c r="I21" i="10" s="1"/>
  <c r="I24" i="10" s="1"/>
  <c r="E26" i="10" s="1"/>
  <c r="D34" i="6"/>
  <c r="C38" i="6"/>
  <c r="C32" i="9" s="1"/>
  <c r="C46" i="6"/>
  <c r="F46" i="6"/>
  <c r="C23" i="9"/>
  <c r="D29" i="9" s="1"/>
  <c r="F21" i="9"/>
  <c r="F23" i="9"/>
  <c r="C38" i="7"/>
  <c r="D60" i="7" s="1"/>
  <c r="D34" i="7"/>
  <c r="H29" i="9" s="1"/>
  <c r="C24" i="5"/>
  <c r="F20" i="5"/>
  <c r="J38" i="9" s="1"/>
  <c r="F17" i="5"/>
  <c r="J37" i="9" s="1"/>
  <c r="C14" i="6" l="1"/>
  <c r="D60" i="6"/>
  <c r="C70" i="9" s="1"/>
  <c r="C25" i="5"/>
  <c r="J20" i="9"/>
  <c r="F32" i="9"/>
  <c r="F70" i="9"/>
  <c r="F22" i="5"/>
  <c r="C27" i="5" l="1"/>
  <c r="G14" i="10"/>
  <c r="I14" i="10" s="1"/>
  <c r="C9" i="9"/>
  <c r="C14" i="7"/>
  <c r="C64" i="9"/>
  <c r="C14" i="5"/>
  <c r="C15" i="6"/>
  <c r="C30" i="6"/>
  <c r="J21" i="9"/>
  <c r="D27" i="5"/>
  <c r="D35" i="5"/>
  <c r="K29" i="9" s="1"/>
  <c r="C39" i="5"/>
  <c r="J70" i="9" s="1"/>
  <c r="J23" i="9"/>
  <c r="F64" i="9" l="1"/>
  <c r="C15" i="7"/>
  <c r="C16" i="7" s="1"/>
  <c r="D17" i="7" s="1"/>
  <c r="C19" i="7" s="1"/>
  <c r="C20" i="7" s="1"/>
  <c r="C30" i="7"/>
  <c r="C16" i="6"/>
  <c r="C10" i="9"/>
  <c r="C26" i="9"/>
  <c r="C32" i="6"/>
  <c r="J64" i="9"/>
  <c r="C15" i="5"/>
  <c r="C16" i="5" s="1"/>
  <c r="D17" i="5" s="1"/>
  <c r="G16" i="10"/>
  <c r="D39" i="5"/>
  <c r="J32" i="9"/>
  <c r="I36" i="5"/>
  <c r="I25" i="5" s="1"/>
  <c r="D62" i="5"/>
  <c r="F46" i="7"/>
  <c r="D33" i="6" l="1"/>
  <c r="C36" i="6" s="1"/>
  <c r="D17" i="6"/>
  <c r="D19" i="6" s="1"/>
  <c r="M8" i="10"/>
  <c r="M10" i="10"/>
  <c r="L21" i="10"/>
  <c r="G24" i="10"/>
  <c r="I16" i="10"/>
  <c r="M9" i="10"/>
  <c r="C32" i="7"/>
  <c r="F26" i="9"/>
  <c r="F36" i="9"/>
  <c r="F40" i="9" s="1"/>
  <c r="F39" i="9" s="1"/>
  <c r="H39" i="9" s="1"/>
  <c r="F34" i="7"/>
  <c r="C41" i="7"/>
  <c r="F31" i="7" s="1"/>
  <c r="H38" i="9"/>
  <c r="M13" i="10" l="1"/>
  <c r="G22" i="10" s="1"/>
  <c r="C30" i="5" s="1"/>
  <c r="C31" i="5" s="1"/>
  <c r="C33" i="5" s="1"/>
  <c r="C58" i="6"/>
  <c r="F42" i="9"/>
  <c r="G50" i="7"/>
  <c r="F59" i="9" s="1"/>
  <c r="F32" i="7"/>
  <c r="F27" i="9"/>
  <c r="D33" i="7"/>
  <c r="H28" i="9" s="1"/>
  <c r="D11" i="9"/>
  <c r="C13" i="9" s="1"/>
  <c r="C14" i="9" s="1"/>
  <c r="C19" i="6"/>
  <c r="C20" i="6" s="1"/>
  <c r="C30" i="9"/>
  <c r="C27" i="9"/>
  <c r="D28" i="9" s="1"/>
  <c r="C39" i="6"/>
  <c r="L20" i="10" l="1"/>
  <c r="L24" i="10" s="1"/>
  <c r="G26" i="10" s="1"/>
  <c r="J26" i="9"/>
  <c r="C36" i="7"/>
  <c r="F30" i="9" s="1"/>
  <c r="C58" i="7"/>
  <c r="J27" i="9"/>
  <c r="D34" i="5"/>
  <c r="C36" i="9"/>
  <c r="F34" i="6"/>
  <c r="C41" i="6"/>
  <c r="F31" i="6" s="1"/>
  <c r="F42" i="7"/>
  <c r="F53" i="9" s="1"/>
  <c r="F36" i="7"/>
  <c r="G32" i="7" s="1"/>
  <c r="D39" i="6"/>
  <c r="C33" i="9"/>
  <c r="F37" i="6"/>
  <c r="C39" i="7" l="1"/>
  <c r="F37" i="7" s="1"/>
  <c r="C54" i="7"/>
  <c r="K28" i="9"/>
  <c r="C60" i="5"/>
  <c r="C37" i="5"/>
  <c r="F43" i="9"/>
  <c r="G27" i="7"/>
  <c r="G31" i="7"/>
  <c r="G17" i="7"/>
  <c r="G36" i="7"/>
  <c r="G34" i="7"/>
  <c r="I33" i="7" s="1"/>
  <c r="G12" i="7"/>
  <c r="G22" i="7"/>
  <c r="G20" i="7"/>
  <c r="C40" i="9"/>
  <c r="F41" i="6"/>
  <c r="C52" i="9" s="1"/>
  <c r="G37" i="6"/>
  <c r="C56" i="9" s="1"/>
  <c r="G50" i="6"/>
  <c r="C59" i="9" s="1"/>
  <c r="C42" i="9"/>
  <c r="F32" i="6"/>
  <c r="F33" i="9" l="1"/>
  <c r="D39" i="7"/>
  <c r="J30" i="9"/>
  <c r="C40" i="5"/>
  <c r="F44" i="7"/>
  <c r="F38" i="7"/>
  <c r="G37" i="7"/>
  <c r="F56" i="9" s="1"/>
  <c r="F41" i="7"/>
  <c r="F52" i="9" s="1"/>
  <c r="F42" i="6"/>
  <c r="C53" i="9" s="1"/>
  <c r="F36" i="6"/>
  <c r="C39" i="9"/>
  <c r="F72" i="9"/>
  <c r="H37" i="9"/>
  <c r="H41" i="9"/>
  <c r="H36" i="9"/>
  <c r="H40" i="9"/>
  <c r="H42" i="9"/>
  <c r="C19" i="5"/>
  <c r="C20" i="5" s="1"/>
  <c r="C43" i="9" l="1"/>
  <c r="G12" i="6"/>
  <c r="G17" i="6"/>
  <c r="G20" i="6"/>
  <c r="G22" i="6"/>
  <c r="G36" i="6"/>
  <c r="G27" i="6"/>
  <c r="G34" i="6"/>
  <c r="F38" i="6"/>
  <c r="G31" i="6"/>
  <c r="F44" i="6"/>
  <c r="F44" i="9"/>
  <c r="C44" i="7"/>
  <c r="F46" i="9" s="1"/>
  <c r="G38" i="7"/>
  <c r="F54" i="9"/>
  <c r="D58" i="7"/>
  <c r="C42" i="7"/>
  <c r="G44" i="7"/>
  <c r="D39" i="9"/>
  <c r="J33" i="9"/>
  <c r="D40" i="5"/>
  <c r="F39" i="5"/>
  <c r="G39" i="5" s="1"/>
  <c r="J56" i="9" s="1"/>
  <c r="G32" i="6"/>
  <c r="F36" i="5"/>
  <c r="C43" i="5"/>
  <c r="F33" i="5" s="1"/>
  <c r="J36" i="9"/>
  <c r="J40" i="9" s="1"/>
  <c r="C48" i="5"/>
  <c r="J48" i="9" s="1"/>
  <c r="F43" i="5"/>
  <c r="J52" i="9" s="1"/>
  <c r="D59" i="7" l="1"/>
  <c r="F50" i="7"/>
  <c r="C54" i="6"/>
  <c r="I33" i="6"/>
  <c r="C54" i="9"/>
  <c r="C42" i="6"/>
  <c r="D58" i="6"/>
  <c r="G44" i="6"/>
  <c r="C44" i="9"/>
  <c r="G38" i="6"/>
  <c r="C44" i="6"/>
  <c r="C46" i="9" s="1"/>
  <c r="D42" i="9"/>
  <c r="C72" i="9"/>
  <c r="D41" i="9"/>
  <c r="D37" i="9"/>
  <c r="D36" i="9"/>
  <c r="D40" i="9"/>
  <c r="J42" i="9"/>
  <c r="G52" i="5"/>
  <c r="J59" i="9" s="1"/>
  <c r="J39" i="9"/>
  <c r="F34" i="5"/>
  <c r="F50" i="6" l="1"/>
  <c r="D59" i="6"/>
  <c r="F67" i="9"/>
  <c r="F51" i="7"/>
  <c r="F66" i="9" s="1"/>
  <c r="D50" i="7"/>
  <c r="F61" i="9" s="1"/>
  <c r="F71" i="9" s="1"/>
  <c r="F73" i="9" s="1"/>
  <c r="D61" i="7"/>
  <c r="D62" i="7" s="1"/>
  <c r="F44" i="5"/>
  <c r="J53" i="9" s="1"/>
  <c r="F38" i="5"/>
  <c r="I37" i="5"/>
  <c r="F48" i="5" s="1"/>
  <c r="J49" i="9" s="1"/>
  <c r="D50" i="6" l="1"/>
  <c r="C61" i="9" s="1"/>
  <c r="C71" i="9" s="1"/>
  <c r="C73" i="9" s="1"/>
  <c r="D61" i="6"/>
  <c r="D62" i="6" s="1"/>
  <c r="C67" i="9"/>
  <c r="F51" i="6"/>
  <c r="C66" i="9" s="1"/>
  <c r="J43" i="9"/>
  <c r="J72" i="9" s="1"/>
  <c r="G17" i="5"/>
  <c r="G22" i="5"/>
  <c r="F40" i="5"/>
  <c r="J44" i="9" s="1"/>
  <c r="G38" i="5"/>
  <c r="F46" i="5"/>
  <c r="J54" i="9" s="1"/>
  <c r="G27" i="5"/>
  <c r="G12" i="5"/>
  <c r="G20" i="5"/>
  <c r="G36" i="5"/>
  <c r="G33" i="5"/>
  <c r="G34" i="5"/>
  <c r="K38" i="9" l="1"/>
  <c r="K41" i="9"/>
  <c r="K37" i="9"/>
  <c r="K36" i="9"/>
  <c r="K42" i="9"/>
  <c r="K40" i="9"/>
  <c r="K39" i="9"/>
  <c r="G46" i="5"/>
  <c r="D60" i="5"/>
  <c r="C44" i="5"/>
  <c r="C56" i="5"/>
  <c r="I35" i="5"/>
  <c r="G40" i="5"/>
  <c r="C46" i="5"/>
  <c r="J46" i="9" s="1"/>
  <c r="F52" i="5" l="1"/>
  <c r="D61" i="5"/>
  <c r="F53" i="5" l="1"/>
  <c r="J66" i="9" s="1"/>
  <c r="J67" i="9"/>
  <c r="D63" i="5"/>
  <c r="D64" i="5" s="1"/>
  <c r="D52" i="5"/>
  <c r="J61" i="9" s="1"/>
  <c r="J71" i="9" s="1"/>
  <c r="J73" i="9" s="1"/>
</calcChain>
</file>

<file path=xl/sharedStrings.xml><?xml version="1.0" encoding="utf-8"?>
<sst xmlns="http://schemas.openxmlformats.org/spreadsheetml/2006/main" count="520" uniqueCount="235">
  <si>
    <t>of the total costs that include the unweaned calf.</t>
  </si>
  <si>
    <t>Check on percent of cost items.</t>
  </si>
  <si>
    <t>SUMMARY</t>
  </si>
  <si>
    <t>Annualized investment is weaned calf value plus 1/2 of non-cattle cost adjusted for days in preconditioning divided by 365.</t>
  </si>
  <si>
    <t>$/Head</t>
  </si>
  <si>
    <t>Includes labor and management for all activities - preweaning to preconditioned.</t>
  </si>
  <si>
    <t>Weaned Weight - Lbs.</t>
  </si>
  <si>
    <t>Marketing Cost - Commission %</t>
  </si>
  <si>
    <t>Freight &amp; Marketing Cost - Per Head</t>
  </si>
  <si>
    <t>Description of Vac.</t>
  </si>
  <si>
    <t xml:space="preserve">Non-cattle costs account for </t>
  </si>
  <si>
    <t>Payweight Minus Death Loss</t>
  </si>
  <si>
    <t>Direct Costs</t>
  </si>
  <si>
    <t>Indirect Costs</t>
  </si>
  <si>
    <t xml:space="preserve">  Net ADG</t>
  </si>
  <si>
    <t>Preconditioned Sale Value</t>
  </si>
  <si>
    <r>
      <t>Breakeven Cost</t>
    </r>
    <r>
      <rPr>
        <sz val="11"/>
        <rFont val="Times New Roman"/>
        <family val="1"/>
      </rPr>
      <t xml:space="preserve"> is a cost component divided by the amount of saleable product.  The costs included </t>
    </r>
    <r>
      <rPr>
        <b/>
        <sz val="11"/>
        <rFont val="Times New Roman"/>
        <family val="1"/>
      </rPr>
      <t xml:space="preserve">must be defined before </t>
    </r>
    <r>
      <rPr>
        <sz val="11"/>
        <rFont val="Times New Roman"/>
        <family val="1"/>
      </rPr>
      <t xml:space="preserve">a breakeven can provide useful information to a decision maker.  </t>
    </r>
    <r>
      <rPr>
        <b/>
        <sz val="11"/>
        <rFont val="Times New Roman"/>
        <family val="1"/>
      </rPr>
      <t>A break-even that does not cover full cost is very misleading.</t>
    </r>
    <r>
      <rPr>
        <sz val="11"/>
        <rFont val="Times New Roman"/>
        <family val="1"/>
      </rPr>
      <t xml:space="preserve">  Feedyards never calculate a “full cost” breakeven.  It is a feedyard direct cost  breakeven.  Producers must add to direct costs full cost of the feeder and the business’s general and administrative (G &amp; A) and finance costs. They must have </t>
    </r>
    <r>
      <rPr>
        <b/>
        <sz val="11"/>
        <rFont val="Times New Roman"/>
        <family val="1"/>
      </rPr>
      <t>total unit cost</t>
    </r>
    <r>
      <rPr>
        <sz val="11"/>
        <rFont val="Times New Roman"/>
        <family val="1"/>
      </rPr>
      <t xml:space="preserve"> to have a true measure of profitability. Having G&amp;A and actual interest cost will mean the stocker profitability and TUC is consistent with the total business income statement or profit and loss (P&amp;L) statement. </t>
    </r>
    <r>
      <rPr>
        <b/>
        <sz val="11"/>
        <rFont val="Times New Roman"/>
        <family val="1"/>
      </rPr>
      <t>If a business that only breakeven it will fail</t>
    </r>
    <r>
      <rPr>
        <sz val="11"/>
        <rFont val="Times New Roman"/>
        <family val="1"/>
      </rPr>
      <t>. Equity will not grow. All projections need to report conditions for a profit margin above TUC to insure profitable options are chosen.</t>
    </r>
  </si>
  <si>
    <r>
      <rPr>
        <b/>
        <sz val="11"/>
        <rFont val="Times New Roman"/>
        <family val="1"/>
      </rPr>
      <t xml:space="preserve">Indirect Costs or overhead </t>
    </r>
    <r>
      <rPr>
        <sz val="11"/>
        <rFont val="Times New Roman"/>
        <family val="1"/>
      </rPr>
      <t>are</t>
    </r>
    <r>
      <rPr>
        <b/>
        <sz val="11"/>
        <rFont val="Times New Roman"/>
        <family val="1"/>
      </rPr>
      <t xml:space="preserve"> </t>
    </r>
    <r>
      <rPr>
        <sz val="11"/>
        <rFont val="Times New Roman"/>
        <family val="1"/>
      </rPr>
      <t xml:space="preserve">costs that can’t be assigned directly to a production activity. Many indirect costs are fixed costs. Indirect costs continue irrespective of the level of production activities. Depreciation, repair and maintenance of vehicles, machinery and equipment, labor and management, property tax are examples of indirect costs. </t>
    </r>
    <r>
      <rPr>
        <b/>
        <sz val="11"/>
        <rFont val="Times New Roman"/>
        <family val="1"/>
      </rPr>
      <t xml:space="preserve">General and Administrative Cost (G&amp;A) are indirect </t>
    </r>
    <r>
      <rPr>
        <sz val="11"/>
        <rFont val="Times New Roman"/>
        <family val="1"/>
      </rPr>
      <t>costs that all businesses incur to cover bookkeeping, professional fees, insurance, office supplies, computer services, phone and utility costs and business travel. Administrative cost includes the salary and payroll for support personnel. Owner operator withdrawals are indirect costs. Often ignored is management time required for retained ownership activity. Retained ownership should pay part of business indirect costs. For feedyards one reason why it so important to keep pens fill is indirect costs go on they are fixed costs, whether the yard is fill or 25% empty. Meaning they go on even if cattle activities are reduced.</t>
    </r>
  </si>
  <si>
    <r>
      <rPr>
        <b/>
        <sz val="11"/>
        <rFont val="Times New Roman"/>
        <family val="1"/>
      </rPr>
      <t>Profitability</t>
    </r>
    <r>
      <rPr>
        <sz val="11"/>
        <rFont val="Times New Roman"/>
        <family val="1"/>
      </rPr>
      <t xml:space="preserve"> is the ability of the ranch production and marketing activity to generate income in excess of </t>
    </r>
    <r>
      <rPr>
        <b/>
        <sz val="11"/>
        <rFont val="Times New Roman"/>
        <family val="1"/>
      </rPr>
      <t>total unit costs</t>
    </r>
    <r>
      <rPr>
        <sz val="11"/>
        <rFont val="Times New Roman"/>
        <family val="1"/>
      </rPr>
      <t>.  Profit is the net to equity capital. A profitable business has equity growth reported in the income statement as net ranch accrual income and balance sheet equity as retained earnings and change in equity.</t>
    </r>
  </si>
  <si>
    <t>Include veterinary services and consultation</t>
  </si>
  <si>
    <t>Include indirect or overhead costs see the definition sheet.</t>
  </si>
  <si>
    <t>__________________________________________________________________________________________________</t>
  </si>
  <si>
    <t>Net Payweight of Sale</t>
  </si>
  <si>
    <t xml:space="preserve"> Preweaning Vacc &amp; Worm</t>
  </si>
  <si>
    <t xml:space="preserve"> Weaning Vacc Boosters</t>
  </si>
  <si>
    <t xml:space="preserve"> Morbidity</t>
  </si>
  <si>
    <t xml:space="preserve"> Cost of Treatment</t>
  </si>
  <si>
    <t xml:space="preserve"> Treatment Cost/Hd.</t>
  </si>
  <si>
    <t xml:space="preserve"> Total Processing &amp; Vacc</t>
  </si>
  <si>
    <t xml:space="preserve"> Feed Cost per day</t>
  </si>
  <si>
    <t xml:space="preserve"> Total Feed Cost</t>
  </si>
  <si>
    <t xml:space="preserve"> Facilities &amp; Indirect /Day</t>
  </si>
  <si>
    <t xml:space="preserve"> Management &amp; Labor/Day</t>
  </si>
  <si>
    <t xml:space="preserve"> Interest Rate</t>
  </si>
  <si>
    <t>Total Finance Cost</t>
  </si>
  <si>
    <t xml:space="preserve">  Increase In Calf Value</t>
  </si>
  <si>
    <t xml:space="preserve">  Added Preconditioning Cost</t>
  </si>
  <si>
    <t>Return on Investment - ROI</t>
  </si>
  <si>
    <t>For Preconditioned Calf</t>
  </si>
  <si>
    <t xml:space="preserve"> Other Costs</t>
  </si>
  <si>
    <t>%</t>
  </si>
  <si>
    <t>Shrink if Sold at Weaning - %</t>
  </si>
  <si>
    <t xml:space="preserve">Profitability and Return on Investment (ROI) for Raised Calf Preconditioning </t>
  </si>
  <si>
    <t>Marketing Cost - Commission - %</t>
  </si>
  <si>
    <t>Sales Date</t>
  </si>
  <si>
    <t>Health &amp; Treatment Cost/Hd.</t>
  </si>
  <si>
    <t>Gain</t>
  </si>
  <si>
    <t>Preconditioned Net Sale Price/Lb.</t>
  </si>
  <si>
    <t>&lt;------</t>
  </si>
  <si>
    <t>Sales Value</t>
  </si>
  <si>
    <t>ROI=(Profit +Interest)/Annualized Investment)</t>
  </si>
  <si>
    <t>Target Change Calculations</t>
  </si>
  <si>
    <t>Net Price</t>
  </si>
  <si>
    <t xml:space="preserve">     Change</t>
  </si>
  <si>
    <t>Change in Premium</t>
  </si>
  <si>
    <t>Net of Mortality Sales</t>
  </si>
  <si>
    <t>Target Check</t>
  </si>
  <si>
    <t xml:space="preserve">          Target's ROI</t>
  </si>
  <si>
    <t xml:space="preserve">                        Input Premium</t>
  </si>
  <si>
    <t xml:space="preserve">     ROI</t>
  </si>
  <si>
    <t>Target Profit Per Head &amp; ROI</t>
  </si>
  <si>
    <t xml:space="preserve">             Change in Premium</t>
  </si>
  <si>
    <t>Target's Premium</t>
  </si>
  <si>
    <t>Profit Plus Interest</t>
  </si>
  <si>
    <t xml:space="preserve">    $/Cwt.</t>
  </si>
  <si>
    <t>Preconditioned Market Price $/Cwt.</t>
  </si>
  <si>
    <t>$/Cwt.</t>
  </si>
  <si>
    <t>Net Price - $/Cwt.</t>
  </si>
  <si>
    <t xml:space="preserve">The key to profitability is the difference between unweaned versus preconditioned calf value. </t>
  </si>
  <si>
    <t>Value of Gain - $/Lb.</t>
  </si>
  <si>
    <t>Cost of Gain - $/Lb.</t>
  </si>
  <si>
    <t>Profit - per Head &amp; Cwt.</t>
  </si>
  <si>
    <t>Days in the program</t>
  </si>
  <si>
    <t xml:space="preserve">Gross Payweight Price </t>
  </si>
  <si>
    <t>Preconditioned</t>
  </si>
  <si>
    <t xml:space="preserve"> ADG Before Shrink </t>
  </si>
  <si>
    <t xml:space="preserve"> Gain - Lbs.</t>
  </si>
  <si>
    <t xml:space="preserve"> Actual Preconditioned Weight</t>
  </si>
  <si>
    <t xml:space="preserve"> Shrink When Sold Preconditioned</t>
  </si>
  <si>
    <t xml:space="preserve"> Payweight - Net ADG</t>
  </si>
  <si>
    <t xml:space="preserve">                 Date of Analysis</t>
  </si>
  <si>
    <t>Total Direct Costs - $/Hd.</t>
  </si>
  <si>
    <t>Total Indirect Cost - $/Hd.</t>
  </si>
  <si>
    <t>Total Added Cost - $/Hd.</t>
  </si>
  <si>
    <t xml:space="preserve">         $/Cwt.</t>
  </si>
  <si>
    <t>Annualized Investment - $/Hd.</t>
  </si>
  <si>
    <t>Target Profit &amp; Price</t>
  </si>
  <si>
    <t xml:space="preserve">     $/Head</t>
  </si>
  <si>
    <t>Vac Premium  - $/Cwt.</t>
  </si>
  <si>
    <t xml:space="preserve">  Price Change</t>
  </si>
  <si>
    <t>Profit - $/Head</t>
  </si>
  <si>
    <t>Net Value at Weaning - Unweaned</t>
  </si>
  <si>
    <t xml:space="preserve"> Net Value at Weaning - $/Hd.</t>
  </si>
  <si>
    <t>Preconditioned Sales Value - $/Hd.</t>
  </si>
  <si>
    <t>Net Value at Weaning - Unweaned Calf</t>
  </si>
  <si>
    <t>Total Unit Cost - TUC</t>
  </si>
  <si>
    <t>Special Auction Sale for Vac 45 raised calves</t>
  </si>
  <si>
    <t>Preconditioning Mortality - %</t>
  </si>
  <si>
    <t>%   Net Gain</t>
  </si>
  <si>
    <t>Direct Cost of Gain</t>
  </si>
  <si>
    <t>% of TUC</t>
  </si>
  <si>
    <t xml:space="preserve">Preconditioning Vac. 34 </t>
  </si>
  <si>
    <t xml:space="preserve">Preconditioning Vac. 24 </t>
  </si>
  <si>
    <t>Vac 24</t>
  </si>
  <si>
    <t>Vac 34</t>
  </si>
  <si>
    <t>Vac 45</t>
  </si>
  <si>
    <t xml:space="preserve">   Health &amp; Treatment Cost/Hd.</t>
  </si>
  <si>
    <t xml:space="preserve">   Other</t>
  </si>
  <si>
    <t xml:space="preserve">   Total Feed Cost</t>
  </si>
  <si>
    <t xml:space="preserve">   Net Value at Weaning - Unweaned</t>
  </si>
  <si>
    <t>Target's Premium Required</t>
  </si>
  <si>
    <t>___________________________________________________________</t>
  </si>
  <si>
    <t>Target Profit - ROI</t>
  </si>
  <si>
    <t xml:space="preserve"> Payweight - Net Gain</t>
  </si>
  <si>
    <t>Target Price</t>
  </si>
  <si>
    <t>Preconditioned Net Sale Value</t>
  </si>
  <si>
    <t>Vac Premium Paid - $/Cwt.</t>
  </si>
  <si>
    <t>Net Value Unweaned $/Head</t>
  </si>
  <si>
    <t>Livestock Vaccination Programs</t>
  </si>
  <si>
    <t>Weight-Price Slide</t>
  </si>
  <si>
    <t>Profitability and Return on Investment (ROI) for Preconditioning Programs</t>
  </si>
  <si>
    <t>Weaning and Sales Date</t>
  </si>
  <si>
    <t>Preconditioning Starts</t>
  </si>
  <si>
    <t>at weaning</t>
  </si>
  <si>
    <t>Weaning</t>
  </si>
  <si>
    <t>Weaning &amp; Sale</t>
  </si>
  <si>
    <t>Before Weaning</t>
  </si>
  <si>
    <t>Special Auction Sale for Vac 34 raised calves</t>
  </si>
  <si>
    <t>Unweaned Calf Sale</t>
  </si>
  <si>
    <t xml:space="preserve">Weaning and Sales Date </t>
  </si>
  <si>
    <t>Change in Premium Required</t>
  </si>
  <si>
    <t>Target Profit Per Head Over TUC</t>
  </si>
  <si>
    <t>To achieve the target profit.</t>
  </si>
  <si>
    <t>Weight</t>
  </si>
  <si>
    <t>Price Needed</t>
  </si>
  <si>
    <t xml:space="preserve">  Net Sales Weight</t>
  </si>
  <si>
    <t xml:space="preserve">  Net Income</t>
  </si>
  <si>
    <t xml:space="preserve">  TUC</t>
  </si>
  <si>
    <t>Profit</t>
  </si>
  <si>
    <t>Note the profitability of the preconditioning says nothing about the profitability of the cow-calf activity.</t>
  </si>
  <si>
    <t>Profit -$/Head</t>
  </si>
  <si>
    <t>Profit - $/Hd.</t>
  </si>
  <si>
    <t>Also base price for calculating weight slide</t>
  </si>
  <si>
    <t>________________________________________________________________________________________________________</t>
  </si>
  <si>
    <t>Base Sales Weight</t>
  </si>
  <si>
    <t>Base Sales Price</t>
  </si>
  <si>
    <t>Price Slide - $/Cwt</t>
  </si>
  <si>
    <t>Price Slide Change - $/Cwt.</t>
  </si>
  <si>
    <t xml:space="preserve">        $/Cwt.</t>
  </si>
  <si>
    <t>Price Slide - $/Cwt.</t>
  </si>
  <si>
    <t xml:space="preserve">Price Slide Change - $/Cwt. </t>
  </si>
  <si>
    <t xml:space="preserve">   $/Cwt.</t>
  </si>
  <si>
    <t>Finance</t>
  </si>
  <si>
    <t>Version 11/16/2015</t>
  </si>
  <si>
    <t>Check on Target Profit Calculations Per Head</t>
  </si>
  <si>
    <t xml:space="preserve">      $/Cwt.</t>
  </si>
  <si>
    <t xml:space="preserve">     $/Cwt.</t>
  </si>
  <si>
    <t xml:space="preserve">   ROI</t>
  </si>
  <si>
    <r>
      <t xml:space="preserve"> </t>
    </r>
    <r>
      <rPr>
        <b/>
        <sz val="11"/>
        <rFont val="Times New Roman"/>
        <family val="1"/>
      </rPr>
      <t xml:space="preserve">Owner Operator Labor and Management </t>
    </r>
    <r>
      <rPr>
        <sz val="11"/>
        <rFont val="Times New Roman"/>
        <family val="1"/>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This makes a sole proprietors cost comparable to a corporate business’s cost calculation.  Owner manager costs need to be included in production costs. Many sole proprietor businesses have withdrawals for family living. Withdrawals beyond an equivalent to the salary would be an equity withdrawal not a production cost.</t>
    </r>
  </si>
  <si>
    <t>Version 2/2/2016</t>
  </si>
  <si>
    <t xml:space="preserve">Key Definitions Used In Preconditioning Evaluation* </t>
  </si>
  <si>
    <r>
      <t>Direct Expenses</t>
    </r>
    <r>
      <rPr>
        <sz val="11"/>
        <rFont val="Times New Roman"/>
        <family val="1"/>
      </rPr>
      <t xml:space="preserve"> are expense items that are directly related to production activity such as grazing, feed, custom yardage, health, veterinary services, and cattle cost.</t>
    </r>
  </si>
  <si>
    <r>
      <rPr>
        <b/>
        <sz val="11"/>
        <rFont val="Times New Roman"/>
        <family val="1"/>
      </rPr>
      <t xml:space="preserve"> Total Cost and Total Unit Cost (TUC) includes:</t>
    </r>
    <r>
      <rPr>
        <sz val="11"/>
        <rFont val="Times New Roman"/>
        <family val="1"/>
      </rPr>
      <t xml:space="preserve"> 1. Direct costs, 2. Indirect costs including general and administrative (G&amp;A) and management costs including owner operating management compensation and 3. Finance. When costs are complete TUC is consistent with the total business income statement or profit and loss (P&amp;L) statement.   </t>
    </r>
  </si>
  <si>
    <r>
      <t>Average Daily Gain (ADG)</t>
    </r>
    <r>
      <rPr>
        <sz val="11"/>
        <rFont val="Times New Roman"/>
        <family val="1"/>
      </rPr>
      <t xml:space="preserve"> is the net payweight weight gain divided by head days. This weight is adjusted for death loss (deads are in) as only live cattle payweight are counted.  Average daily gain is total saleable net gain divided by head days fed.</t>
    </r>
  </si>
  <si>
    <r>
      <t>Direct Costs</t>
    </r>
    <r>
      <rPr>
        <sz val="11"/>
        <rFont val="Times New Roman"/>
        <family val="1"/>
      </rPr>
      <t xml:space="preserve"> are expense items that are directly related to production activity such as feed, yardage, health and feeder cost. All retained ownership costs in feedyards are direct costs. </t>
    </r>
  </si>
  <si>
    <r>
      <t>Cattle Owner Management</t>
    </r>
    <r>
      <rPr>
        <sz val="11"/>
        <rFont val="Times New Roman"/>
        <family val="1"/>
      </rPr>
      <t xml:space="preserve"> cost or compensation should be included in the production cost calculation at the manager’s salary lever or a level equivalent to the salary required hiring a non-family member to provide an equivalent service. Cattle owner’s management costs need to be included in costs as compensation for feeding and marketing decisions. </t>
    </r>
  </si>
  <si>
    <r>
      <t xml:space="preserve">Freight or Trucking Costs </t>
    </r>
    <r>
      <rPr>
        <sz val="11"/>
        <rFont val="Times New Roman"/>
        <family val="1"/>
      </rPr>
      <t>are a marketing cost</t>
    </r>
    <r>
      <rPr>
        <b/>
        <sz val="11"/>
        <rFont val="Times New Roman"/>
        <family val="1"/>
      </rPr>
      <t xml:space="preserve"> </t>
    </r>
    <r>
      <rPr>
        <sz val="11"/>
        <rFont val="Times New Roman"/>
        <family val="1"/>
      </rPr>
      <t>and reduce the gross revenue or the net payweight price received for cattle.</t>
    </r>
    <r>
      <rPr>
        <b/>
        <sz val="11"/>
        <rFont val="Times New Roman"/>
        <family val="1"/>
      </rPr>
      <t xml:space="preserve"> </t>
    </r>
    <r>
      <rPr>
        <sz val="11"/>
        <rFont val="Times New Roman"/>
        <family val="1"/>
      </rPr>
      <t>They should not be includes as a cost of gain.</t>
    </r>
  </si>
  <si>
    <r>
      <t xml:space="preserve">Indirect Costs </t>
    </r>
    <r>
      <rPr>
        <sz val="11"/>
        <rFont val="Times New Roman"/>
        <family val="1"/>
      </rPr>
      <t>are</t>
    </r>
    <r>
      <rPr>
        <b/>
        <sz val="11"/>
        <rFont val="Times New Roman"/>
        <family val="1"/>
      </rPr>
      <t xml:space="preserve"> </t>
    </r>
    <r>
      <rPr>
        <sz val="11"/>
        <rFont val="Times New Roman"/>
        <family val="1"/>
      </rPr>
      <t>the costs the feedyard incurs</t>
    </r>
    <r>
      <rPr>
        <b/>
        <sz val="11"/>
        <rFont val="Times New Roman"/>
        <family val="1"/>
      </rPr>
      <t xml:space="preserve"> </t>
    </r>
    <r>
      <rPr>
        <sz val="11"/>
        <rFont val="Times New Roman"/>
        <family val="1"/>
      </rPr>
      <t xml:space="preserve">and are covered by the head day yardage charged to the customers cost. Indirect costs include ownership and operating cost of facilities. Depreciation, repair, maintenance, of the yard vehicles, machinery and equipment, labor and management, utilities, property tax are examples of operating costs. General and administrative costs are indirect cost. </t>
    </r>
    <r>
      <rPr>
        <b/>
        <sz val="11"/>
        <rFont val="Times New Roman"/>
        <family val="1"/>
      </rPr>
      <t xml:space="preserve"> </t>
    </r>
    <r>
      <rPr>
        <sz val="11"/>
        <rFont val="Times New Roman"/>
        <family val="1"/>
      </rPr>
      <t>One reason why</t>
    </r>
    <r>
      <rPr>
        <b/>
        <sz val="11"/>
        <rFont val="Times New Roman"/>
        <family val="1"/>
      </rPr>
      <t xml:space="preserve"> </t>
    </r>
    <r>
      <rPr>
        <sz val="11"/>
        <rFont val="Times New Roman"/>
        <family val="1"/>
      </rPr>
      <t xml:space="preserve">it so important to keep pens fill is many indirect costs go on, are fixed costs, whether the yard is fill or 25% empty.         </t>
    </r>
  </si>
  <si>
    <r>
      <t>Payweight Price</t>
    </r>
    <r>
      <rPr>
        <sz val="11"/>
        <rFont val="Times New Roman"/>
        <family val="1"/>
      </rPr>
      <t xml:space="preserve"> is the net income from sale after adjustments for freight and marketing costs.  Payweight is the net weight after shrinkage for the cattle.</t>
    </r>
  </si>
  <si>
    <r>
      <t>Net Payweight Gain</t>
    </r>
    <r>
      <rPr>
        <sz val="11"/>
        <rFont val="Times New Roman"/>
        <family val="1"/>
      </rPr>
      <t xml:space="preserve"> is the difference between net sales or payweight and weaning weight.</t>
    </r>
  </si>
  <si>
    <r>
      <t>Net Payweight Sales Revenue</t>
    </r>
    <r>
      <rPr>
        <sz val="11"/>
        <rFont val="Times New Roman"/>
        <family val="1"/>
      </rPr>
      <t xml:space="preserve"> is the revenue received per cwt after shrink and all freight and marketing costs are accounted for.</t>
    </r>
  </si>
  <si>
    <r>
      <t>Payweight In</t>
    </r>
    <r>
      <rPr>
        <sz val="11"/>
        <rFont val="Times New Roman"/>
        <family val="1"/>
      </rPr>
      <t xml:space="preserve"> is the net beginning payweight weight. Off truck weight at arrival at the feedyard </t>
    </r>
  </si>
  <si>
    <t xml:space="preserve">is irrelevant in cattle feeding production and economic performance analysis. As its payweights that counts in the end. </t>
  </si>
  <si>
    <r>
      <t xml:space="preserve">Payweight Out </t>
    </r>
    <r>
      <rPr>
        <sz val="11"/>
        <rFont val="Times New Roman"/>
        <family val="1"/>
      </rPr>
      <t>is the net weight out after shrinkage (deads are in).  In other words, it is net-to-net payweight. Feedyard performance with deads out is wrong and just distorts reality.</t>
    </r>
  </si>
  <si>
    <r>
      <t>Preconditioning and Backgrounding</t>
    </r>
    <r>
      <rPr>
        <sz val="11"/>
        <rFont val="Times New Roman"/>
        <family val="1"/>
      </rPr>
      <t xml:space="preserve"> is often used interchangeably.  This is the phase of production between weaning and selling or transferring to a feeder or finishing phase of production.  Preconditioning is a 30-60 day period.  Backgrounding is normally used to describe cattle that are confinement fed for a longer period between weaning and sale as feeders.</t>
    </r>
  </si>
  <si>
    <r>
      <t>Price Slide</t>
    </r>
    <r>
      <rPr>
        <sz val="11"/>
        <rFont val="Times New Roman"/>
        <family val="1"/>
      </rPr>
      <t xml:space="preserve"> is a price adjustment for a weight that differs from the base weight.  It is very common for feeder and feeder buyers to include a price slide to the agreement to protect the price they pay for cattle at the base contract weight.  If the weight exceeds the base then a deduction is made.  </t>
    </r>
  </si>
  <si>
    <r>
      <t>Profit (Loss)</t>
    </r>
    <r>
      <rPr>
        <sz val="11"/>
        <rFont val="Times New Roman"/>
        <family val="1"/>
      </rPr>
      <t xml:space="preserve"> care must be exercised in reading reports in the cattle sector labeling the value profit or loss.  Most frequently in feedyard and other cattle reporting, these numbers are gross margins (gross revenue minus direct feedyard costs) and do not include overhead and owner labor and management costs, which are required to calculate a true profit or return to business equity. Reports are inconsistence is how interest costs are included.</t>
    </r>
  </si>
  <si>
    <r>
      <t xml:space="preserve">Roll Back </t>
    </r>
    <r>
      <rPr>
        <sz val="11"/>
        <rFont val="Times New Roman"/>
        <family val="1"/>
      </rPr>
      <t xml:space="preserve">is a term to describe the difference between the net payweight price of finished cattle and their payweight feeder purchase price or cost. This is the cost per cwt. weight on the beginning weight that has to be overcome by cost of gain to make a profit.  </t>
    </r>
    <r>
      <rPr>
        <b/>
        <sz val="11"/>
        <rFont val="Times New Roman"/>
        <family val="1"/>
      </rPr>
      <t xml:space="preserve"> </t>
    </r>
  </si>
  <si>
    <r>
      <t xml:space="preserve">Sunk Cost – </t>
    </r>
    <r>
      <rPr>
        <sz val="11"/>
        <rFont val="Times New Roman"/>
        <family val="1"/>
      </rPr>
      <t>is</t>
    </r>
    <r>
      <rPr>
        <b/>
        <sz val="11"/>
        <rFont val="Times New Roman"/>
        <family val="1"/>
      </rPr>
      <t xml:space="preserve"> </t>
    </r>
    <r>
      <rPr>
        <sz val="11"/>
        <rFont val="Times New Roman"/>
        <family val="1"/>
      </rPr>
      <t>used</t>
    </r>
    <r>
      <rPr>
        <b/>
        <sz val="11"/>
        <rFont val="Times New Roman"/>
        <family val="1"/>
      </rPr>
      <t xml:space="preserve"> </t>
    </r>
    <r>
      <rPr>
        <sz val="11"/>
        <rFont val="Times New Roman"/>
        <family val="1"/>
      </rPr>
      <t>to describe a cost that has incurred or has taken place that cannot be reversed.</t>
    </r>
    <r>
      <rPr>
        <b/>
        <sz val="11"/>
        <rFont val="Times New Roman"/>
        <family val="1"/>
      </rPr>
      <t xml:space="preserve"> </t>
    </r>
    <r>
      <rPr>
        <sz val="11"/>
        <rFont val="Times New Roman"/>
        <family val="1"/>
      </rPr>
      <t>At the weaning time the costs to produce the calf are sunk costs. These costs do not determine if the weaned calves should be retained or not. It’s a question will the added revenue be greater than the added costs</t>
    </r>
    <r>
      <rPr>
        <b/>
        <sz val="11"/>
        <rFont val="Times New Roman"/>
        <family val="1"/>
      </rPr>
      <t xml:space="preserve"> </t>
    </r>
    <r>
      <rPr>
        <sz val="11"/>
        <rFont val="Times New Roman"/>
        <family val="1"/>
      </rPr>
      <t>from retained ownership in greater than just selling the unweaned calf.</t>
    </r>
  </si>
  <si>
    <r>
      <t>Total Unrealized Sales Value</t>
    </r>
    <r>
      <rPr>
        <sz val="11"/>
        <rFont val="Times New Roman"/>
        <family val="1"/>
      </rPr>
      <t xml:space="preserve"> (opportunity cost) is the net sales revenue that is projected if the calves are sold at weaning after shrink and marketing costs.  The weight, price and marketing costs are critical in determining net payweight and payweight price.</t>
    </r>
  </si>
  <si>
    <r>
      <t xml:space="preserve">Facilities or Yardage Cost </t>
    </r>
    <r>
      <rPr>
        <sz val="11"/>
        <rFont val="Times New Roman"/>
        <family val="1"/>
      </rPr>
      <t>is</t>
    </r>
    <r>
      <rPr>
        <b/>
        <sz val="11"/>
        <rFont val="Times New Roman"/>
        <family val="1"/>
      </rPr>
      <t xml:space="preserve"> </t>
    </r>
    <r>
      <rPr>
        <sz val="11"/>
        <rFont val="Times New Roman"/>
        <family val="1"/>
      </rPr>
      <t>used as an expression indirect cost that include ownership and operating cost of the feedyard and general and administrative (G&amp;A) costs. These costs are and charged on a per head basis to individual lots. The sum of direct costs and yardage when combined with financing cost would be the feedyard’s total unit cost. Some feedyard’s mark up feed to cover all or a portion of yardage costs.</t>
    </r>
  </si>
  <si>
    <r>
      <t xml:space="preserve">General and Administrative Cost (G&amp;A) </t>
    </r>
    <r>
      <rPr>
        <sz val="11"/>
        <rFont val="Times New Roman"/>
        <family val="1"/>
      </rPr>
      <t>is indirect the costs that all business incurs to cover book keeping, professional fees, insurance, office supplies, computer services, phone and other utilities cost. Administrative cost includes the salary and payroll for hired of owner management. There is management time spent on planning, implementation and marketing issues for the cattle feeding retained ownership activity.</t>
    </r>
  </si>
  <si>
    <r>
      <t xml:space="preserve">Value of Gain </t>
    </r>
    <r>
      <rPr>
        <sz val="11"/>
        <rFont val="Times New Roman"/>
        <family val="1"/>
      </rPr>
      <t>is  the net preconditioned income minus the initial net unweaned calf value divided by the net sales payweight. The value of gain must be greater than the cost of gain to be profitable market alternative.</t>
    </r>
  </si>
  <si>
    <t>Net Sales Price off the Cow - $/Cwt.</t>
  </si>
  <si>
    <t>Sales Base Price</t>
  </si>
  <si>
    <t>Other Cost</t>
  </si>
  <si>
    <t xml:space="preserve">  Other Cost</t>
  </si>
  <si>
    <t xml:space="preserve"> Days In Preconditioned Program</t>
  </si>
  <si>
    <t xml:space="preserve">Indirect Costs </t>
  </si>
  <si>
    <t xml:space="preserve"> Days Preconditioned</t>
  </si>
  <si>
    <t xml:space="preserve">Preconditioning Vac. </t>
  </si>
  <si>
    <t>Version 2/6/2016</t>
  </si>
  <si>
    <t>Freight, Marketing Cost &amp; Fees  - $/Hd.</t>
  </si>
  <si>
    <t>Special Video for Vac 24 raised calves</t>
  </si>
  <si>
    <r>
      <t xml:space="preserve">Freight Shrink </t>
    </r>
    <r>
      <rPr>
        <sz val="11"/>
        <rFont val="Times New Roman"/>
        <family val="1"/>
      </rPr>
      <t xml:space="preserve">is the extra shrink calves suffer when they travel long distances. The time and feed required to recover will reduce performance and increase cost. This should be a factor of consideration in reviewing and comparing closeouts.  </t>
    </r>
  </si>
  <si>
    <t>Net Payweight Sales - $/Hd. &amp; $/Cwt.</t>
  </si>
  <si>
    <t>Version 2/8/2016</t>
  </si>
  <si>
    <r>
      <t xml:space="preserve">Annualized Net Return on Investment </t>
    </r>
    <r>
      <rPr>
        <sz val="11"/>
        <rFont val="Times New Roman"/>
        <family val="1"/>
      </rPr>
      <t>(ROI) is the net income plus cash interest paid divided by annualized capital investment requirement to support the cattle activity. The reason interest is added back is interest paid represents a return the debt capital. ROI as a return to capital invested irrespective of capital ownership. Capital is adjusted for the time cattle are on feed. Investment required is estimated by taking one half of the investment in non-cattle costs plus the total payweight cost of the feeder cattle times days on feed divided by 365 days. A low ROI is due to high calf or feeder cost relative to sales value, high feeding costs of gain, poor production performance or a combination of these factors.</t>
    </r>
  </si>
  <si>
    <t>Preconditioned Calf Price Weight Slide Using Market Price Data by Weight</t>
  </si>
  <si>
    <t xml:space="preserve">Calculated Price Slide Based on Reported Cattle Prices </t>
  </si>
  <si>
    <t>Prices</t>
  </si>
  <si>
    <t>Unweaned</t>
  </si>
  <si>
    <t>Cattle Prices</t>
  </si>
  <si>
    <t>TX - Steers</t>
  </si>
  <si>
    <t>Slide</t>
  </si>
  <si>
    <t xml:space="preserve"> High -Low</t>
  </si>
  <si>
    <t xml:space="preserve">     Weight</t>
  </si>
  <si>
    <t xml:space="preserve"> Weight Range</t>
  </si>
  <si>
    <t>Average</t>
  </si>
  <si>
    <t>$/Cwt</t>
  </si>
  <si>
    <t xml:space="preserve">    Range</t>
  </si>
  <si>
    <t>Cents/Lb.</t>
  </si>
  <si>
    <t xml:space="preserve">       Slide</t>
  </si>
  <si>
    <t>Cattle Description</t>
  </si>
  <si>
    <t xml:space="preserve"> Wt.  Change</t>
  </si>
  <si>
    <t>Weight of Calf</t>
  </si>
  <si>
    <t>Lb./Head</t>
  </si>
  <si>
    <t xml:space="preserve">Shrink When Sold  </t>
  </si>
  <si>
    <t>Net Payweight</t>
  </si>
  <si>
    <t>Cattle Price Slide Calculator-------------------</t>
  </si>
  <si>
    <t>Unweaned Calf</t>
  </si>
  <si>
    <t>At Weaning</t>
  </si>
  <si>
    <t xml:space="preserve">  Base Feeder Weight for Calculating Slide</t>
  </si>
  <si>
    <t>Calculation of Discounts or Premium</t>
  </si>
  <si>
    <t xml:space="preserve">  Tolerance Above Base Weight</t>
  </si>
  <si>
    <t>Heavy</t>
  </si>
  <si>
    <t xml:space="preserve">  Tolerance Below Base Weight</t>
  </si>
  <si>
    <t>Light</t>
  </si>
  <si>
    <t xml:space="preserve">  Price Slide  - Heaver Than Base Weight</t>
  </si>
  <si>
    <t xml:space="preserve">  Price Slide  - Lower Than Base Weight</t>
  </si>
  <si>
    <t>Slide Discount or Premium</t>
  </si>
  <si>
    <t>Price Slide Discount (-) or Addition (+)</t>
  </si>
  <si>
    <t>Days</t>
  </si>
  <si>
    <t>See page 4 for slide calculator.</t>
  </si>
  <si>
    <t>See aheet 4 for slide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</si>
</sst>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quot;$&quot;#,##0.00"/>
    <numFmt numFmtId="167" formatCode="_(&quot;$&quot;* #,##0_);_(&quot;$&quot;* \(#,##0\);_(&quot;$&quot;* &quot;-&quot;??_);_(@_)"/>
    <numFmt numFmtId="168" formatCode="[$$-409]#,##0.00_);[Red]\([$$-409]#,##0.00\)"/>
    <numFmt numFmtId="169" formatCode="&quot;$&quot;#,##0"/>
    <numFmt numFmtId="170" formatCode="[$$-409]#,##0_);[Red]\([$$-409]#,##0\)"/>
    <numFmt numFmtId="171" formatCode="&quot;$&quot;#,##0.000"/>
    <numFmt numFmtId="172" formatCode="[$$-409]#,##0.000_);[Red]\([$$-409]#,##0.000\)"/>
    <numFmt numFmtId="173" formatCode="[$-409]d\-mmm\-yy;@"/>
    <numFmt numFmtId="174" formatCode="&quot;$&quot;#,##0.00000"/>
    <numFmt numFmtId="175" formatCode="&quot;$&quot;#,##0.0000_);[Red]\(&quot;$&quot;#,##0.0000\)"/>
    <numFmt numFmtId="176" formatCode="_(* #,##0_);_(* \(#,##0\);_(* &quot;-&quot;??_);_(@_)"/>
  </numFmts>
  <fonts count="28" x14ac:knownFonts="1">
    <font>
      <sz val="10"/>
      <name val="Arial"/>
    </font>
    <font>
      <b/>
      <sz val="12"/>
      <name val="Arial"/>
      <family val="2"/>
    </font>
    <font>
      <sz val="10"/>
      <name val="Arial"/>
      <family val="2"/>
    </font>
    <font>
      <b/>
      <sz val="10"/>
      <color indexed="12"/>
      <name val="Arial"/>
      <family val="2"/>
    </font>
    <font>
      <b/>
      <sz val="10"/>
      <name val="Arial"/>
      <family val="2"/>
    </font>
    <font>
      <sz val="9"/>
      <name val="Arial"/>
      <family val="2"/>
    </font>
    <font>
      <sz val="11"/>
      <name val="Arial"/>
      <family val="2"/>
    </font>
    <font>
      <b/>
      <sz val="8"/>
      <name val="Arial"/>
      <family val="2"/>
    </font>
    <font>
      <b/>
      <sz val="12"/>
      <color rgb="FF0000FF"/>
      <name val="Arial"/>
      <family val="2"/>
    </font>
    <font>
      <sz val="10"/>
      <color rgb="FF0000FF"/>
      <name val="Arial"/>
      <family val="2"/>
    </font>
    <font>
      <sz val="12"/>
      <name val="Arial"/>
      <family val="2"/>
    </font>
    <font>
      <b/>
      <sz val="11"/>
      <name val="Arial"/>
      <family val="2"/>
    </font>
    <font>
      <b/>
      <sz val="11"/>
      <name val="Times New Roman"/>
      <family val="1"/>
    </font>
    <font>
      <sz val="11"/>
      <name val="Times New Roman"/>
      <family val="1"/>
    </font>
    <font>
      <b/>
      <sz val="10"/>
      <color rgb="FF0000FF"/>
      <name val="Arial"/>
      <family val="2"/>
    </font>
    <font>
      <sz val="8"/>
      <name val="Arial"/>
      <family val="2"/>
    </font>
    <font>
      <b/>
      <sz val="11"/>
      <color rgb="FF0000FF"/>
      <name val="Arial"/>
      <family val="2"/>
    </font>
    <font>
      <sz val="10"/>
      <name val="Arial"/>
      <family val="2"/>
    </font>
    <font>
      <b/>
      <sz val="14"/>
      <name val="Arial"/>
      <family val="2"/>
    </font>
    <font>
      <sz val="14"/>
      <name val="Arial"/>
      <family val="2"/>
    </font>
    <font>
      <b/>
      <sz val="18"/>
      <name val="Arial"/>
      <family val="2"/>
    </font>
    <font>
      <sz val="12"/>
      <color indexed="39"/>
      <name val="Arial"/>
      <family val="2"/>
    </font>
    <font>
      <sz val="12"/>
      <color rgb="FF0000FF"/>
      <name val="Arial"/>
      <family val="2"/>
    </font>
    <font>
      <sz val="11"/>
      <color indexed="39"/>
      <name val="Arial"/>
      <family val="2"/>
    </font>
    <font>
      <sz val="12"/>
      <color indexed="12"/>
      <name val="Arial"/>
      <family val="2"/>
    </font>
    <font>
      <sz val="10"/>
      <color indexed="10"/>
      <name val="Arial"/>
      <family val="2"/>
    </font>
    <font>
      <b/>
      <sz val="12"/>
      <color indexed="8"/>
      <name val="Arial"/>
      <family val="2"/>
    </font>
    <font>
      <sz val="10"/>
      <color rgb="FFFF0000"/>
      <name val="Arial"/>
      <family val="2"/>
    </font>
  </fonts>
  <fills count="4">
    <fill>
      <patternFill patternType="none"/>
    </fill>
    <fill>
      <patternFill patternType="gray125"/>
    </fill>
    <fill>
      <patternFill patternType="solid">
        <fgColor rgb="FFCCFF99"/>
        <bgColor indexed="64"/>
      </patternFill>
    </fill>
    <fill>
      <patternFill patternType="solid">
        <fgColor rgb="FFCCFFCC"/>
        <bgColor indexed="64"/>
      </patternFill>
    </fill>
  </fills>
  <borders count="13">
    <border>
      <left/>
      <right/>
      <top/>
      <bottom/>
      <diagonal/>
    </border>
    <border>
      <left/>
      <right/>
      <top/>
      <bottom style="double">
        <color indexed="64"/>
      </bottom>
      <diagonal/>
    </border>
    <border>
      <left/>
      <right/>
      <top style="double">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auto="1"/>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top style="thin">
        <color indexed="8"/>
      </top>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3" fontId="17" fillId="0" borderId="0" applyFont="0" applyFill="0" applyBorder="0" applyAlignment="0" applyProtection="0"/>
  </cellStyleXfs>
  <cellXfs count="238">
    <xf numFmtId="0" fontId="0" fillId="0" borderId="0" xfId="0"/>
    <xf numFmtId="0" fontId="1" fillId="0" borderId="0" xfId="0" applyFont="1"/>
    <xf numFmtId="0" fontId="2" fillId="0" borderId="0" xfId="0" applyFont="1"/>
    <xf numFmtId="0" fontId="3" fillId="0" borderId="0" xfId="0" applyFont="1" applyProtection="1">
      <protection locked="0"/>
    </xf>
    <xf numFmtId="0" fontId="4" fillId="0" borderId="0" xfId="0" applyFont="1"/>
    <xf numFmtId="9" fontId="3" fillId="0" borderId="0" xfId="2" applyFont="1" applyProtection="1">
      <protection locked="0"/>
    </xf>
    <xf numFmtId="44" fontId="0" fillId="0" borderId="0" xfId="0" applyNumberFormat="1"/>
    <xf numFmtId="164" fontId="0" fillId="0" borderId="0" xfId="1" applyNumberFormat="1" applyFont="1"/>
    <xf numFmtId="164" fontId="0" fillId="0" borderId="0" xfId="0" applyNumberFormat="1"/>
    <xf numFmtId="10" fontId="0" fillId="0" borderId="0" xfId="0" applyNumberFormat="1"/>
    <xf numFmtId="10" fontId="4" fillId="0" borderId="0" xfId="2" applyNumberFormat="1" applyFont="1"/>
    <xf numFmtId="165" fontId="4" fillId="0" borderId="0" xfId="2" applyNumberFormat="1" applyFont="1"/>
    <xf numFmtId="167" fontId="4" fillId="0" borderId="0" xfId="0" applyNumberFormat="1" applyFont="1"/>
    <xf numFmtId="39" fontId="3" fillId="0" borderId="0" xfId="1" applyNumberFormat="1" applyFont="1" applyProtection="1">
      <protection locked="0"/>
    </xf>
    <xf numFmtId="165" fontId="3" fillId="0" borderId="0" xfId="2" applyNumberFormat="1" applyFont="1" applyProtection="1">
      <protection locked="0"/>
    </xf>
    <xf numFmtId="168" fontId="3" fillId="0" borderId="0" xfId="1" applyNumberFormat="1" applyFont="1" applyProtection="1">
      <protection locked="0"/>
    </xf>
    <xf numFmtId="168" fontId="0" fillId="0" borderId="0" xfId="0" applyNumberFormat="1"/>
    <xf numFmtId="168" fontId="4" fillId="0" borderId="0" xfId="0" applyNumberFormat="1" applyFont="1"/>
    <xf numFmtId="166" fontId="3" fillId="0" borderId="0" xfId="1" applyNumberFormat="1" applyFont="1" applyProtection="1">
      <protection locked="0"/>
    </xf>
    <xf numFmtId="166" fontId="4" fillId="0" borderId="0" xfId="0" applyNumberFormat="1" applyFont="1"/>
    <xf numFmtId="166" fontId="4" fillId="0" borderId="0" xfId="1" applyNumberFormat="1" applyFont="1"/>
    <xf numFmtId="0" fontId="4" fillId="0" borderId="0" xfId="0" quotePrefix="1" applyFont="1"/>
    <xf numFmtId="166" fontId="2" fillId="0" borderId="0" xfId="2" applyNumberFormat="1" applyFont="1"/>
    <xf numFmtId="170" fontId="0" fillId="0" borderId="0" xfId="0" applyNumberFormat="1"/>
    <xf numFmtId="0" fontId="7" fillId="0" borderId="0" xfId="0" applyFont="1"/>
    <xf numFmtId="170" fontId="4" fillId="0" borderId="0" xfId="0" applyNumberFormat="1" applyFont="1" applyBorder="1"/>
    <xf numFmtId="164" fontId="4" fillId="0" borderId="0" xfId="0" applyNumberFormat="1" applyFont="1" applyFill="1"/>
    <xf numFmtId="170" fontId="2" fillId="0" borderId="1" xfId="0" applyNumberFormat="1" applyFont="1" applyBorder="1"/>
    <xf numFmtId="168" fontId="2" fillId="0" borderId="0" xfId="0" applyNumberFormat="1" applyFont="1" applyBorder="1"/>
    <xf numFmtId="168" fontId="2" fillId="0" borderId="1" xfId="0" applyNumberFormat="1" applyFont="1" applyBorder="1"/>
    <xf numFmtId="10" fontId="4" fillId="0" borderId="0" xfId="0" applyNumberFormat="1" applyFont="1"/>
    <xf numFmtId="169" fontId="0" fillId="0" borderId="0" xfId="0" applyNumberFormat="1"/>
    <xf numFmtId="166" fontId="0" fillId="0" borderId="0" xfId="0" applyNumberFormat="1"/>
    <xf numFmtId="166" fontId="2" fillId="0" borderId="0" xfId="0" applyNumberFormat="1" applyFont="1"/>
    <xf numFmtId="2" fontId="0" fillId="0" borderId="0" xfId="0" applyNumberFormat="1"/>
    <xf numFmtId="0" fontId="4" fillId="0" borderId="0" xfId="0" applyFont="1" applyAlignment="1">
      <alignment horizontal="right"/>
    </xf>
    <xf numFmtId="0" fontId="1" fillId="0" borderId="0" xfId="0" applyFont="1" applyAlignment="1">
      <alignment horizontal="right"/>
    </xf>
    <xf numFmtId="10" fontId="1" fillId="0" borderId="0" xfId="0" applyNumberFormat="1" applyFont="1"/>
    <xf numFmtId="172" fontId="4" fillId="0" borderId="0" xfId="0" applyNumberFormat="1" applyFont="1"/>
    <xf numFmtId="168" fontId="4" fillId="0" borderId="2" xfId="0" applyNumberFormat="1" applyFont="1" applyBorder="1"/>
    <xf numFmtId="164" fontId="4" fillId="0" borderId="0" xfId="0" applyNumberFormat="1" applyFont="1"/>
    <xf numFmtId="2" fontId="0" fillId="0" borderId="0" xfId="0" applyNumberFormat="1" applyAlignment="1">
      <alignment horizontal="center"/>
    </xf>
    <xf numFmtId="166" fontId="0" fillId="0" borderId="0" xfId="0" applyNumberFormat="1" applyAlignment="1">
      <alignment horizontal="center"/>
    </xf>
    <xf numFmtId="0" fontId="2" fillId="0" borderId="0" xfId="0" applyFont="1" applyAlignment="1">
      <alignment horizontal="center"/>
    </xf>
    <xf numFmtId="168" fontId="4" fillId="0" borderId="0" xfId="0" applyNumberFormat="1" applyFont="1" applyBorder="1"/>
    <xf numFmtId="166" fontId="4" fillId="0" borderId="2" xfId="0" applyNumberFormat="1" applyFont="1" applyBorder="1"/>
    <xf numFmtId="2" fontId="3" fillId="0" borderId="0" xfId="2" applyNumberFormat="1" applyFont="1" applyProtection="1">
      <protection locked="0"/>
    </xf>
    <xf numFmtId="164" fontId="3" fillId="0" borderId="0" xfId="2" applyNumberFormat="1" applyFont="1" applyProtection="1">
      <protection locked="0"/>
    </xf>
    <xf numFmtId="166" fontId="5" fillId="0" borderId="0" xfId="0" applyNumberFormat="1" applyFont="1"/>
    <xf numFmtId="0" fontId="11" fillId="0" borderId="0" xfId="0" applyFont="1" applyBorder="1" applyAlignment="1" applyProtection="1">
      <alignment horizontal="right"/>
      <protection locked="0"/>
    </xf>
    <xf numFmtId="173" fontId="14" fillId="0" borderId="3" xfId="0" applyNumberFormat="1" applyFont="1" applyBorder="1" applyProtection="1">
      <protection locked="0"/>
    </xf>
    <xf numFmtId="166" fontId="4" fillId="0" borderId="0" xfId="2" applyNumberFormat="1" applyFont="1"/>
    <xf numFmtId="166" fontId="3" fillId="0" borderId="0" xfId="2" applyNumberFormat="1" applyFont="1" applyProtection="1">
      <protection locked="0"/>
    </xf>
    <xf numFmtId="0" fontId="4" fillId="0" borderId="0" xfId="0" applyFont="1" applyAlignment="1">
      <alignment horizontal="left"/>
    </xf>
    <xf numFmtId="171" fontId="0" fillId="0" borderId="0" xfId="0" applyNumberFormat="1"/>
    <xf numFmtId="0" fontId="4" fillId="2" borderId="0" xfId="0" applyFont="1" applyFill="1"/>
    <xf numFmtId="166" fontId="4" fillId="2" borderId="0" xfId="0" applyNumberFormat="1" applyFont="1" applyFill="1"/>
    <xf numFmtId="165" fontId="4" fillId="0" borderId="0" xfId="2" applyNumberFormat="1" applyFont="1" applyAlignment="1">
      <alignment horizontal="center"/>
    </xf>
    <xf numFmtId="0" fontId="5" fillId="0" borderId="0" xfId="0" applyFont="1"/>
    <xf numFmtId="171" fontId="2" fillId="0" borderId="0" xfId="0" applyNumberFormat="1" applyFont="1"/>
    <xf numFmtId="9" fontId="4" fillId="0" borderId="0" xfId="2" applyFont="1" applyFill="1"/>
    <xf numFmtId="0" fontId="4" fillId="2" borderId="0" xfId="0" applyFont="1" applyFill="1" applyAlignment="1">
      <alignment horizontal="right"/>
    </xf>
    <xf numFmtId="168" fontId="4" fillId="2" borderId="0" xfId="0" applyNumberFormat="1" applyFont="1" applyFill="1"/>
    <xf numFmtId="10" fontId="4" fillId="2" borderId="0" xfId="2" applyNumberFormat="1" applyFont="1" applyFill="1"/>
    <xf numFmtId="166" fontId="0" fillId="0" borderId="0" xfId="0" applyNumberFormat="1" applyAlignment="1">
      <alignment horizontal="left" indent="2"/>
    </xf>
    <xf numFmtId="166" fontId="3" fillId="0" borderId="3" xfId="1" applyNumberFormat="1" applyFont="1" applyBorder="1" applyProtection="1">
      <protection locked="0"/>
    </xf>
    <xf numFmtId="168" fontId="1" fillId="0" borderId="0" xfId="0" applyNumberFormat="1" applyFont="1" applyAlignment="1">
      <alignment horizontal="center"/>
    </xf>
    <xf numFmtId="10" fontId="1" fillId="0" borderId="0" xfId="0" applyNumberFormat="1" applyFont="1" applyAlignment="1">
      <alignment horizontal="center"/>
    </xf>
    <xf numFmtId="0" fontId="2" fillId="0" borderId="7" xfId="0" applyFont="1" applyBorder="1"/>
    <xf numFmtId="0" fontId="0" fillId="0" borderId="7" xfId="0" applyBorder="1"/>
    <xf numFmtId="174" fontId="0" fillId="0" borderId="7" xfId="0" applyNumberFormat="1" applyBorder="1"/>
    <xf numFmtId="168" fontId="4" fillId="0" borderId="7" xfId="0" applyNumberFormat="1" applyFont="1" applyBorder="1"/>
    <xf numFmtId="0" fontId="1" fillId="0" borderId="0" xfId="0" applyFont="1" applyAlignment="1">
      <alignment horizontal="center"/>
    </xf>
    <xf numFmtId="0" fontId="0" fillId="0" borderId="0" xfId="0" applyAlignment="1">
      <alignment horizontal="center"/>
    </xf>
    <xf numFmtId="39" fontId="4" fillId="0" borderId="0" xfId="1" applyNumberFormat="1" applyFont="1" applyProtection="1"/>
    <xf numFmtId="0" fontId="4" fillId="0" borderId="0" xfId="0" applyFont="1" applyFill="1" applyBorder="1"/>
    <xf numFmtId="0" fontId="4" fillId="0" borderId="0" xfId="0" applyFont="1" applyAlignment="1">
      <alignment horizontal="center"/>
    </xf>
    <xf numFmtId="166" fontId="4" fillId="0" borderId="0" xfId="1" applyNumberFormat="1" applyFont="1" applyProtection="1"/>
    <xf numFmtId="0" fontId="15" fillId="0" borderId="0" xfId="0" applyFont="1"/>
    <xf numFmtId="1" fontId="0" fillId="0" borderId="0" xfId="0" applyNumberFormat="1"/>
    <xf numFmtId="169" fontId="4" fillId="0" borderId="0" xfId="0" applyNumberFormat="1" applyFont="1"/>
    <xf numFmtId="8" fontId="4" fillId="0" borderId="0" xfId="1" applyNumberFormat="1" applyFont="1" applyAlignment="1" applyProtection="1">
      <alignment horizontal="center"/>
    </xf>
    <xf numFmtId="8" fontId="4" fillId="0" borderId="0" xfId="0" applyNumberFormat="1" applyFont="1"/>
    <xf numFmtId="0" fontId="11" fillId="0" borderId="0" xfId="0" applyFont="1"/>
    <xf numFmtId="0" fontId="1"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6" fillId="0" borderId="0" xfId="0" applyFont="1" applyAlignment="1"/>
    <xf numFmtId="0" fontId="1" fillId="0" borderId="0" xfId="0" applyFont="1" applyAlignment="1" applyProtection="1">
      <alignment horizontal="right"/>
      <protection locked="0"/>
    </xf>
    <xf numFmtId="0" fontId="1" fillId="0" borderId="0" xfId="0" applyFont="1" applyBorder="1" applyProtection="1"/>
    <xf numFmtId="0" fontId="1" fillId="0" borderId="0" xfId="0" applyFont="1" applyBorder="1" applyAlignment="1" applyProtection="1">
      <alignment horizontal="right"/>
    </xf>
    <xf numFmtId="0" fontId="1" fillId="0" borderId="0" xfId="0" applyFont="1" applyBorder="1" applyAlignment="1" applyProtection="1">
      <alignment horizontal="right"/>
      <protection locked="0"/>
    </xf>
    <xf numFmtId="0" fontId="4" fillId="0" borderId="0" xfId="0" applyFont="1" applyProtection="1"/>
    <xf numFmtId="166" fontId="4" fillId="0" borderId="0" xfId="1" applyNumberFormat="1" applyFont="1" applyBorder="1" applyProtection="1"/>
    <xf numFmtId="165" fontId="4" fillId="0" borderId="0" xfId="2" applyNumberFormat="1" applyFont="1" applyProtection="1"/>
    <xf numFmtId="166" fontId="4" fillId="0" borderId="0" xfId="0" applyNumberFormat="1" applyFont="1" applyProtection="1"/>
    <xf numFmtId="173" fontId="14" fillId="0" borderId="0" xfId="0" applyNumberFormat="1" applyFont="1" applyBorder="1" applyProtection="1">
      <protection locked="0"/>
    </xf>
    <xf numFmtId="166" fontId="4" fillId="0" borderId="0" xfId="0" applyNumberFormat="1" applyFont="1" applyAlignment="1">
      <alignment horizontal="right"/>
    </xf>
    <xf numFmtId="0" fontId="9" fillId="0" borderId="0" xfId="0" applyFont="1" applyBorder="1" applyAlignment="1" applyProtection="1">
      <alignment horizontal="left"/>
      <protection locked="0"/>
    </xf>
    <xf numFmtId="166" fontId="2" fillId="0" borderId="0" xfId="1" applyNumberFormat="1" applyFont="1"/>
    <xf numFmtId="166" fontId="4" fillId="0" borderId="0" xfId="0" applyNumberFormat="1" applyFont="1" applyBorder="1"/>
    <xf numFmtId="165" fontId="0" fillId="0" borderId="0" xfId="2" applyNumberFormat="1" applyFont="1"/>
    <xf numFmtId="0" fontId="2" fillId="0" borderId="0" xfId="0" applyFont="1" applyBorder="1"/>
    <xf numFmtId="0" fontId="0" fillId="0" borderId="0" xfId="0" applyFill="1" applyAlignment="1">
      <alignment horizontal="left"/>
    </xf>
    <xf numFmtId="0" fontId="4" fillId="0" borderId="0" xfId="0" applyFont="1" applyFill="1"/>
    <xf numFmtId="0" fontId="2" fillId="0" borderId="0" xfId="0" applyFont="1" applyFill="1"/>
    <xf numFmtId="0" fontId="0" fillId="0" borderId="0" xfId="0" applyAlignment="1">
      <alignment horizontal="left"/>
    </xf>
    <xf numFmtId="166" fontId="4" fillId="0" borderId="0" xfId="0" applyNumberFormat="1" applyFont="1" applyFill="1"/>
    <xf numFmtId="164" fontId="2" fillId="0" borderId="0" xfId="1" applyNumberFormat="1" applyFont="1" applyProtection="1"/>
    <xf numFmtId="166" fontId="4" fillId="0" borderId="0" xfId="0" applyNumberFormat="1" applyFont="1" applyFill="1" applyProtection="1"/>
    <xf numFmtId="168" fontId="4" fillId="0" borderId="0" xfId="2" applyNumberFormat="1" applyFont="1"/>
    <xf numFmtId="166" fontId="4" fillId="0" borderId="1" xfId="0" applyNumberFormat="1" applyFont="1" applyBorder="1"/>
    <xf numFmtId="39" fontId="0" fillId="0" borderId="0" xfId="0" applyNumberFormat="1"/>
    <xf numFmtId="1" fontId="2" fillId="0" borderId="0" xfId="1" applyNumberFormat="1" applyFont="1" applyProtection="1"/>
    <xf numFmtId="1" fontId="0" fillId="0" borderId="0" xfId="1" applyNumberFormat="1" applyFont="1"/>
    <xf numFmtId="165" fontId="2" fillId="0" borderId="0" xfId="2" applyNumberFormat="1" applyFont="1" applyProtection="1"/>
    <xf numFmtId="164" fontId="2" fillId="0" borderId="0" xfId="0" applyNumberFormat="1" applyFont="1" applyProtection="1"/>
    <xf numFmtId="169" fontId="4" fillId="0" borderId="0" xfId="0" applyNumberFormat="1" applyFont="1" applyAlignment="1">
      <alignment horizontal="right"/>
    </xf>
    <xf numFmtId="37" fontId="0" fillId="0" borderId="0" xfId="0" applyNumberFormat="1"/>
    <xf numFmtId="4" fontId="0" fillId="0" borderId="0" xfId="0" applyNumberFormat="1"/>
    <xf numFmtId="4" fontId="2" fillId="0" borderId="0" xfId="0" applyNumberFormat="1" applyFont="1"/>
    <xf numFmtId="2" fontId="2" fillId="0" borderId="0" xfId="2" applyNumberFormat="1" applyFont="1" applyProtection="1"/>
    <xf numFmtId="166" fontId="2" fillId="0" borderId="0" xfId="2" applyNumberFormat="1" applyFont="1" applyProtection="1"/>
    <xf numFmtId="164" fontId="2" fillId="0" borderId="0" xfId="0" applyNumberFormat="1" applyFont="1"/>
    <xf numFmtId="1" fontId="4" fillId="0" borderId="0" xfId="0" applyNumberFormat="1" applyFont="1"/>
    <xf numFmtId="169" fontId="4" fillId="0" borderId="0" xfId="0" applyNumberFormat="1" applyFont="1" applyBorder="1"/>
    <xf numFmtId="168" fontId="2" fillId="0" borderId="0" xfId="0" applyNumberFormat="1" applyFont="1"/>
    <xf numFmtId="166" fontId="7" fillId="0" borderId="0" xfId="2" applyNumberFormat="1" applyFont="1"/>
    <xf numFmtId="168" fontId="7" fillId="0" borderId="0" xfId="0" applyNumberFormat="1" applyFont="1"/>
    <xf numFmtId="166" fontId="7" fillId="0" borderId="0" xfId="0" applyNumberFormat="1" applyFont="1" applyAlignment="1">
      <alignment horizontal="right"/>
    </xf>
    <xf numFmtId="169" fontId="4" fillId="0" borderId="0" xfId="0" applyNumberFormat="1" applyFont="1" applyBorder="1" applyProtection="1"/>
    <xf numFmtId="1" fontId="4" fillId="0" borderId="0" xfId="0" applyNumberFormat="1" applyFont="1" applyBorder="1" applyProtection="1"/>
    <xf numFmtId="164" fontId="2" fillId="0" borderId="0" xfId="2" applyNumberFormat="1" applyFont="1" applyProtection="1"/>
    <xf numFmtId="166" fontId="2" fillId="0" borderId="0" xfId="0" applyNumberFormat="1" applyFont="1" applyProtection="1"/>
    <xf numFmtId="8" fontId="2" fillId="0" borderId="0" xfId="0" applyNumberFormat="1" applyFont="1"/>
    <xf numFmtId="8" fontId="0" fillId="0" borderId="0" xfId="0" applyNumberFormat="1"/>
    <xf numFmtId="173" fontId="4" fillId="0" borderId="0" xfId="0" applyNumberFormat="1" applyFont="1"/>
    <xf numFmtId="173" fontId="11" fillId="0" borderId="0" xfId="0" applyNumberFormat="1" applyFont="1" applyBorder="1" applyAlignment="1" applyProtection="1">
      <alignment horizontal="center"/>
    </xf>
    <xf numFmtId="173" fontId="16" fillId="0" borderId="3" xfId="0" applyNumberFormat="1" applyFont="1" applyBorder="1" applyProtection="1">
      <protection locked="0"/>
    </xf>
    <xf numFmtId="173" fontId="11" fillId="0" borderId="0" xfId="0" applyNumberFormat="1" applyFont="1" applyBorder="1" applyAlignment="1" applyProtection="1">
      <protection locked="0"/>
    </xf>
    <xf numFmtId="14" fontId="6" fillId="0" borderId="0" xfId="0" applyNumberFormat="1" applyFont="1" applyAlignment="1">
      <alignment horizontal="center"/>
    </xf>
    <xf numFmtId="173" fontId="4" fillId="0" borderId="0" xfId="0" applyNumberFormat="1" applyFont="1" applyBorder="1" applyProtection="1"/>
    <xf numFmtId="0" fontId="4" fillId="0" borderId="0" xfId="0" applyFont="1" applyBorder="1" applyAlignment="1" applyProtection="1">
      <alignment horizontal="left"/>
      <protection locked="0"/>
    </xf>
    <xf numFmtId="0" fontId="4" fillId="0" borderId="0" xfId="0" applyFont="1" applyBorder="1" applyProtection="1">
      <protection locked="0"/>
    </xf>
    <xf numFmtId="173" fontId="11" fillId="0" borderId="0" xfId="0" applyNumberFormat="1" applyFont="1" applyBorder="1" applyProtection="1"/>
    <xf numFmtId="173" fontId="4" fillId="0" borderId="0" xfId="0" applyNumberFormat="1" applyFont="1" applyBorder="1" applyAlignment="1" applyProtection="1">
      <alignment horizontal="center"/>
    </xf>
    <xf numFmtId="0" fontId="9" fillId="0" borderId="0" xfId="0" applyFont="1" applyProtection="1">
      <protection locked="0"/>
    </xf>
    <xf numFmtId="169" fontId="4" fillId="0" borderId="0" xfId="0" applyNumberFormat="1" applyFont="1" applyProtection="1"/>
    <xf numFmtId="0" fontId="2" fillId="0" borderId="0" xfId="0" applyFont="1" applyProtection="1"/>
    <xf numFmtId="8" fontId="4" fillId="0" borderId="0" xfId="1" applyNumberFormat="1" applyFont="1" applyAlignment="1" applyProtection="1">
      <alignment horizontal="right"/>
    </xf>
    <xf numFmtId="168" fontId="2" fillId="0" borderId="0" xfId="1" applyNumberFormat="1" applyFont="1" applyBorder="1" applyProtection="1"/>
    <xf numFmtId="168" fontId="2" fillId="0" borderId="0" xfId="1" applyNumberFormat="1" applyFont="1" applyAlignment="1" applyProtection="1">
      <alignment horizontal="center"/>
    </xf>
    <xf numFmtId="175" fontId="0" fillId="0" borderId="0" xfId="0" applyNumberFormat="1"/>
    <xf numFmtId="166" fontId="0" fillId="0" borderId="0" xfId="0" applyNumberFormat="1" applyAlignment="1">
      <alignment horizontal="right"/>
    </xf>
    <xf numFmtId="8" fontId="2" fillId="0" borderId="0" xfId="0" applyNumberFormat="1" applyFont="1" applyProtection="1"/>
    <xf numFmtId="0" fontId="11" fillId="0" borderId="0" xfId="0" applyFont="1" applyAlignment="1">
      <alignment horizontal="center"/>
    </xf>
    <xf numFmtId="0" fontId="12" fillId="0" borderId="0" xfId="0" applyFont="1" applyAlignment="1">
      <alignment horizontal="left" vertical="center" wrapText="1"/>
    </xf>
    <xf numFmtId="0" fontId="12" fillId="0" borderId="0" xfId="0" applyFont="1" applyAlignment="1">
      <alignment horizontal="justify" vertical="center"/>
    </xf>
    <xf numFmtId="0" fontId="13" fillId="0" borderId="0" xfId="0" applyFont="1" applyAlignment="1">
      <alignment horizontal="left" vertical="center" wrapText="1"/>
    </xf>
    <xf numFmtId="0" fontId="6" fillId="0" borderId="0" xfId="0" applyFont="1"/>
    <xf numFmtId="0" fontId="13" fillId="0" borderId="0" xfId="0" quotePrefix="1" applyFont="1" applyAlignment="1">
      <alignment horizontal="justify" vertical="center"/>
    </xf>
    <xf numFmtId="0" fontId="13" fillId="0" borderId="0" xfId="0" applyFont="1" applyAlignment="1">
      <alignment horizontal="justify" vertical="center"/>
    </xf>
    <xf numFmtId="0" fontId="12" fillId="0" borderId="0" xfId="0" applyFont="1" applyAlignment="1">
      <alignment wrapText="1"/>
    </xf>
    <xf numFmtId="0" fontId="4" fillId="0" borderId="0" xfId="0" applyFont="1" applyAlignment="1">
      <alignment horizontal="center"/>
    </xf>
    <xf numFmtId="0" fontId="2" fillId="0" borderId="0" xfId="0" applyFont="1" applyFill="1" applyBorder="1"/>
    <xf numFmtId="8" fontId="0" fillId="0" borderId="0" xfId="0" applyNumberFormat="1" applyAlignment="1">
      <alignment horizontal="center"/>
    </xf>
    <xf numFmtId="1" fontId="4" fillId="0" borderId="0" xfId="1" applyNumberFormat="1" applyFont="1" applyProtection="1"/>
    <xf numFmtId="1" fontId="8" fillId="0" borderId="3" xfId="0" applyNumberFormat="1" applyFont="1" applyBorder="1" applyProtection="1">
      <protection locked="0"/>
    </xf>
    <xf numFmtId="166" fontId="4" fillId="0" borderId="2" xfId="0" applyNumberFormat="1" applyFont="1" applyBorder="1" applyAlignment="1">
      <alignment horizontal="center"/>
    </xf>
    <xf numFmtId="165" fontId="4" fillId="2" borderId="0" xfId="2" applyNumberFormat="1" applyFont="1" applyFill="1"/>
    <xf numFmtId="168" fontId="4" fillId="2" borderId="0" xfId="2" applyNumberFormat="1" applyFont="1" applyFill="1"/>
    <xf numFmtId="0" fontId="4" fillId="2" borderId="0" xfId="0" applyFont="1" applyFill="1" applyAlignment="1">
      <alignment horizontal="left"/>
    </xf>
    <xf numFmtId="9" fontId="4" fillId="2" borderId="0" xfId="2" applyFont="1" applyFill="1"/>
    <xf numFmtId="168" fontId="0" fillId="2" borderId="0" xfId="2" applyNumberFormat="1" applyFont="1" applyFill="1"/>
    <xf numFmtId="0" fontId="1" fillId="0" borderId="0" xfId="0" applyFont="1" applyAlignment="1">
      <alignment horizontal="center"/>
    </xf>
    <xf numFmtId="0" fontId="0" fillId="0" borderId="0" xfId="0" applyAlignment="1">
      <alignment horizontal="center"/>
    </xf>
    <xf numFmtId="3" fontId="4" fillId="0" borderId="0" xfId="1" applyNumberFormat="1" applyFont="1" applyProtection="1"/>
    <xf numFmtId="0" fontId="19" fillId="0" borderId="0" xfId="0" applyFont="1" applyAlignment="1"/>
    <xf numFmtId="0" fontId="20" fillId="0" borderId="0" xfId="0" applyFont="1"/>
    <xf numFmtId="0" fontId="10" fillId="0" borderId="0" xfId="0" applyFont="1" applyAlignment="1">
      <alignment horizontal="center"/>
    </xf>
    <xf numFmtId="0" fontId="10" fillId="0" borderId="0" xfId="0" applyFont="1" applyAlignment="1">
      <alignment horizontal="right"/>
    </xf>
    <xf numFmtId="173" fontId="21" fillId="0" borderId="0" xfId="0" applyNumberFormat="1" applyFont="1" applyAlignment="1" applyProtection="1">
      <alignment horizontal="left"/>
      <protection locked="0"/>
    </xf>
    <xf numFmtId="0" fontId="10" fillId="0" borderId="0" xfId="0" applyFont="1"/>
    <xf numFmtId="7" fontId="10" fillId="0" borderId="0" xfId="0" applyNumberFormat="1" applyFont="1" applyProtection="1"/>
    <xf numFmtId="170" fontId="21" fillId="0" borderId="0" xfId="0" applyNumberFormat="1" applyFont="1" applyProtection="1">
      <protection locked="0"/>
    </xf>
    <xf numFmtId="170" fontId="21" fillId="0" borderId="0" xfId="0" applyNumberFormat="1" applyFont="1" applyBorder="1" applyProtection="1">
      <protection locked="0"/>
    </xf>
    <xf numFmtId="168" fontId="10" fillId="0" borderId="0" xfId="0" applyNumberFormat="1" applyFont="1"/>
    <xf numFmtId="166" fontId="10" fillId="0" borderId="0" xfId="0" applyNumberFormat="1" applyFont="1"/>
    <xf numFmtId="170" fontId="22" fillId="0" borderId="0" xfId="0" applyNumberFormat="1" applyFont="1" applyProtection="1">
      <protection locked="0"/>
    </xf>
    <xf numFmtId="170" fontId="23" fillId="0" borderId="0" xfId="0" applyNumberFormat="1" applyFont="1" applyProtection="1">
      <protection locked="0"/>
    </xf>
    <xf numFmtId="176" fontId="10" fillId="0" borderId="0" xfId="7" applyNumberFormat="1" applyFont="1"/>
    <xf numFmtId="170" fontId="6" fillId="0" borderId="0" xfId="0" applyNumberFormat="1" applyFont="1" applyBorder="1" applyProtection="1"/>
    <xf numFmtId="166" fontId="1" fillId="0" borderId="0" xfId="0" applyNumberFormat="1" applyFont="1"/>
    <xf numFmtId="164" fontId="10" fillId="0" borderId="0" xfId="0" applyNumberFormat="1" applyFont="1"/>
    <xf numFmtId="1" fontId="1" fillId="0" borderId="0" xfId="0" applyNumberFormat="1" applyFont="1"/>
    <xf numFmtId="168" fontId="6" fillId="0" borderId="0" xfId="0" applyNumberFormat="1" applyFont="1"/>
    <xf numFmtId="7" fontId="10" fillId="0" borderId="0" xfId="0" applyNumberFormat="1" applyFont="1" applyBorder="1" applyProtection="1"/>
    <xf numFmtId="7" fontId="10" fillId="0" borderId="0" xfId="0" applyNumberFormat="1" applyFont="1"/>
    <xf numFmtId="37" fontId="10" fillId="0" borderId="8" xfId="0" applyNumberFormat="1" applyFont="1" applyBorder="1" applyProtection="1"/>
    <xf numFmtId="37" fontId="10" fillId="0" borderId="0" xfId="0" applyNumberFormat="1" applyFont="1" applyBorder="1" applyProtection="1"/>
    <xf numFmtId="7" fontId="0" fillId="0" borderId="0" xfId="0" applyNumberFormat="1" applyProtection="1"/>
    <xf numFmtId="37" fontId="24" fillId="0" borderId="9" xfId="0" applyNumberFormat="1" applyFont="1" applyBorder="1" applyProtection="1">
      <protection locked="0"/>
    </xf>
    <xf numFmtId="37" fontId="10" fillId="0" borderId="0" xfId="0" applyNumberFormat="1" applyFont="1"/>
    <xf numFmtId="7" fontId="25" fillId="0" borderId="0" xfId="0" applyNumberFormat="1" applyFont="1" applyProtection="1"/>
    <xf numFmtId="8" fontId="0" fillId="0" borderId="0" xfId="0" applyNumberFormat="1" applyProtection="1"/>
    <xf numFmtId="37" fontId="24" fillId="0" borderId="10" xfId="0" applyNumberFormat="1" applyFont="1" applyBorder="1" applyProtection="1">
      <protection locked="0"/>
    </xf>
    <xf numFmtId="0" fontId="0" fillId="0" borderId="11" xfId="0" applyBorder="1"/>
    <xf numFmtId="37" fontId="10" fillId="0" borderId="0" xfId="0" applyNumberFormat="1" applyFont="1" applyBorder="1"/>
    <xf numFmtId="0" fontId="25" fillId="0" borderId="0" xfId="0" applyFont="1"/>
    <xf numFmtId="0" fontId="10" fillId="3" borderId="0" xfId="0" applyFont="1" applyFill="1"/>
    <xf numFmtId="0" fontId="0" fillId="3" borderId="0" xfId="0" applyFill="1"/>
    <xf numFmtId="7" fontId="10" fillId="0" borderId="12" xfId="0" applyNumberFormat="1" applyFont="1" applyBorder="1" applyProtection="1"/>
    <xf numFmtId="0" fontId="0" fillId="0" borderId="0" xfId="0" applyBorder="1" applyProtection="1"/>
    <xf numFmtId="0" fontId="1" fillId="0" borderId="0" xfId="0" applyFont="1" applyFill="1" applyAlignment="1">
      <alignment horizontal="center"/>
    </xf>
    <xf numFmtId="8" fontId="26" fillId="0" borderId="0" xfId="0" applyNumberFormat="1" applyFont="1" applyFill="1" applyProtection="1"/>
    <xf numFmtId="0" fontId="0" fillId="0" borderId="0" xfId="0" applyFill="1"/>
    <xf numFmtId="7" fontId="26" fillId="0" borderId="0" xfId="0" applyNumberFormat="1" applyFont="1" applyFill="1" applyProtection="1"/>
    <xf numFmtId="1" fontId="10" fillId="0" borderId="0" xfId="0" applyNumberFormat="1" applyFont="1"/>
    <xf numFmtId="165" fontId="10" fillId="0" borderId="0" xfId="2" applyNumberFormat="1" applyFont="1" applyBorder="1" applyProtection="1"/>
    <xf numFmtId="170" fontId="2" fillId="0" borderId="0" xfId="0" applyNumberFormat="1" applyFont="1" applyBorder="1" applyProtection="1">
      <protection locked="0"/>
    </xf>
    <xf numFmtId="0" fontId="27" fillId="0" borderId="0" xfId="0" applyFont="1"/>
    <xf numFmtId="0" fontId="1" fillId="0" borderId="0" xfId="0" applyFont="1" applyAlignment="1">
      <alignment horizontal="center"/>
    </xf>
    <xf numFmtId="0" fontId="0" fillId="0" borderId="0" xfId="0" applyAlignment="1">
      <alignment horizontal="center"/>
    </xf>
    <xf numFmtId="0" fontId="10" fillId="0" borderId="0" xfId="0" applyFont="1" applyBorder="1" applyAlignment="1">
      <alignment horizontal="left"/>
    </xf>
    <xf numFmtId="0" fontId="10" fillId="0" borderId="0" xfId="0" applyFont="1" applyAlignment="1">
      <alignment horizontal="left"/>
    </xf>
    <xf numFmtId="165" fontId="11" fillId="0" borderId="0" xfId="2" applyNumberFormat="1" applyFont="1" applyAlignment="1">
      <alignment horizontal="center"/>
    </xf>
    <xf numFmtId="0" fontId="6" fillId="0" borderId="0" xfId="0" applyFont="1" applyAlignment="1"/>
    <xf numFmtId="165" fontId="11" fillId="0" borderId="0" xfId="2" applyNumberFormat="1" applyFont="1" applyAlignment="1">
      <alignment horizontal="left"/>
    </xf>
    <xf numFmtId="0" fontId="6" fillId="0" borderId="0" xfId="0" applyFont="1" applyAlignment="1">
      <alignment horizontal="left"/>
    </xf>
    <xf numFmtId="0" fontId="8" fillId="0" borderId="4" xfId="0" applyFont="1" applyBorder="1" applyAlignment="1" applyProtection="1">
      <alignment horizontal="left"/>
      <protection locked="0"/>
    </xf>
    <xf numFmtId="0" fontId="0" fillId="0" borderId="5" xfId="0" applyBorder="1" applyAlignment="1"/>
    <xf numFmtId="0" fontId="0" fillId="0" borderId="6" xfId="0" applyBorder="1" applyAlignment="1"/>
    <xf numFmtId="0" fontId="18" fillId="0" borderId="0" xfId="0" applyFont="1" applyAlignment="1">
      <alignment horizontal="center" wrapText="1"/>
    </xf>
    <xf numFmtId="0" fontId="19" fillId="0" borderId="0" xfId="0" applyFont="1" applyAlignment="1">
      <alignment horizontal="center" wrapText="1"/>
    </xf>
    <xf numFmtId="0" fontId="21" fillId="0" borderId="4"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lignment horizontal="left"/>
    </xf>
    <xf numFmtId="0" fontId="4" fillId="0" borderId="0" xfId="0" applyFont="1" applyAlignment="1">
      <alignment horizontal="center"/>
    </xf>
  </cellXfs>
  <cellStyles count="8">
    <cellStyle name="Comma" xfId="7" builtinId="3"/>
    <cellStyle name="Comma 2" xfId="4"/>
    <cellStyle name="Currency" xfId="1" builtinId="4"/>
    <cellStyle name="Currency 2" xfId="5"/>
    <cellStyle name="Normal" xfId="0" builtinId="0"/>
    <cellStyle name="Normal 2" xfId="3"/>
    <cellStyle name="Percent" xfId="2" builtinId="5"/>
    <cellStyle name="Percent 2" xfId="6"/>
  </cellStyles>
  <dxfs count="0"/>
  <tableStyles count="0" defaultTableStyle="TableStyleMedium2" defaultPivotStyle="PivotStyleLight16"/>
  <colors>
    <mruColors>
      <color rgb="FFCC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16329</xdr:colOff>
      <xdr:row>1</xdr:row>
      <xdr:rowOff>16329</xdr:rowOff>
    </xdr:from>
    <xdr:to>
      <xdr:col>1</xdr:col>
      <xdr:colOff>1213758</xdr:colOff>
      <xdr:row>2</xdr:row>
      <xdr:rowOff>0</xdr:rowOff>
    </xdr:to>
    <xdr:pic>
      <xdr:nvPicPr>
        <xdr:cNvPr id="2" name="Picture 1" descr="TAMAgEX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586" y="212272"/>
          <a:ext cx="1197429"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5443</xdr:rowOff>
    </xdr:from>
    <xdr:to>
      <xdr:col>7</xdr:col>
      <xdr:colOff>288472</xdr:colOff>
      <xdr:row>3</xdr:row>
      <xdr:rowOff>108859</xdr:rowOff>
    </xdr:to>
    <xdr:pic>
      <xdr:nvPicPr>
        <xdr:cNvPr id="3" name="Picture 2" descr="TAMAgEX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3029" y="381000"/>
          <a:ext cx="1197429" cy="299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5"/>
  <sheetViews>
    <sheetView topLeftCell="A19" workbookViewId="0">
      <selection activeCell="B1" sqref="B1:G1"/>
    </sheetView>
  </sheetViews>
  <sheetFormatPr defaultRowHeight="12.45" x14ac:dyDescent="0.3"/>
  <cols>
    <col min="1" max="1" width="3.69140625" customWidth="1"/>
    <col min="2" max="2" width="31.69140625" customWidth="1"/>
    <col min="3" max="3" width="12.4609375" customWidth="1"/>
    <col min="4" max="4" width="10.53515625" customWidth="1"/>
    <col min="5" max="5" width="27.07421875" customWidth="1"/>
    <col min="6" max="6" width="10.84375" customWidth="1"/>
    <col min="7" max="7" width="10.3828125" customWidth="1"/>
  </cols>
  <sheetData>
    <row r="1" spans="2:10" ht="15.45" x14ac:dyDescent="0.4">
      <c r="B1" s="221" t="s">
        <v>42</v>
      </c>
      <c r="C1" s="222"/>
      <c r="D1" s="222"/>
      <c r="E1" s="222"/>
      <c r="F1" s="222"/>
      <c r="G1" s="222"/>
    </row>
    <row r="2" spans="2:10" ht="20.05" customHeight="1" x14ac:dyDescent="0.4">
      <c r="B2" s="84"/>
      <c r="C2" s="85"/>
      <c r="D2" s="85"/>
      <c r="E2" s="76" t="s">
        <v>80</v>
      </c>
      <c r="F2" s="50">
        <v>42590</v>
      </c>
      <c r="G2" s="84"/>
    </row>
    <row r="3" spans="2:10" ht="15.45" x14ac:dyDescent="0.4">
      <c r="B3" s="88" t="s">
        <v>102</v>
      </c>
      <c r="C3" s="89">
        <v>24</v>
      </c>
      <c r="D3" s="223" t="s">
        <v>72</v>
      </c>
      <c r="E3" s="224"/>
      <c r="F3" s="66"/>
      <c r="G3" s="67"/>
    </row>
    <row r="4" spans="2:10" ht="15.45" x14ac:dyDescent="0.4">
      <c r="B4" s="1"/>
      <c r="F4" s="36"/>
      <c r="G4" s="36"/>
    </row>
    <row r="5" spans="2:10" ht="15.45" x14ac:dyDescent="0.4">
      <c r="B5" s="1" t="s">
        <v>9</v>
      </c>
      <c r="C5" s="229" t="s">
        <v>193</v>
      </c>
      <c r="D5" s="230"/>
      <c r="E5" s="230"/>
      <c r="F5" s="231"/>
      <c r="G5" s="37"/>
    </row>
    <row r="6" spans="2:10" ht="15.45" x14ac:dyDescent="0.4">
      <c r="B6" s="1"/>
      <c r="C6" s="142" t="s">
        <v>125</v>
      </c>
      <c r="D6" s="98"/>
      <c r="E6" s="98"/>
      <c r="F6" s="143" t="s">
        <v>126</v>
      </c>
      <c r="G6" s="37"/>
      <c r="J6" s="4" t="s">
        <v>196</v>
      </c>
    </row>
    <row r="7" spans="2:10" ht="14.15" x14ac:dyDescent="0.35">
      <c r="B7" s="49" t="s">
        <v>121</v>
      </c>
      <c r="C7" s="138">
        <v>42644</v>
      </c>
      <c r="E7" s="49" t="s">
        <v>122</v>
      </c>
      <c r="F7" s="137">
        <f>C7-C3</f>
        <v>42620</v>
      </c>
      <c r="G7" s="86"/>
    </row>
    <row r="8" spans="2:10" ht="15.45" x14ac:dyDescent="0.4">
      <c r="B8" s="1"/>
      <c r="D8" s="4"/>
      <c r="G8" s="24"/>
    </row>
    <row r="9" spans="2:10" ht="14.15" x14ac:dyDescent="0.35">
      <c r="B9" s="2" t="s">
        <v>6</v>
      </c>
      <c r="C9" s="3">
        <v>550</v>
      </c>
      <c r="D9" s="4"/>
      <c r="E9" s="4" t="s">
        <v>12</v>
      </c>
      <c r="G9" s="83" t="s">
        <v>100</v>
      </c>
    </row>
    <row r="10" spans="2:10" x14ac:dyDescent="0.3">
      <c r="B10" s="2" t="s">
        <v>41</v>
      </c>
      <c r="C10" s="47">
        <v>4</v>
      </c>
      <c r="D10" t="s">
        <v>40</v>
      </c>
      <c r="E10" s="2" t="s">
        <v>23</v>
      </c>
      <c r="F10" s="15">
        <v>5</v>
      </c>
      <c r="I10" t="s">
        <v>19</v>
      </c>
    </row>
    <row r="11" spans="2:10" x14ac:dyDescent="0.3">
      <c r="B11" t="s">
        <v>22</v>
      </c>
      <c r="C11" s="79">
        <f>C9*(1-C10*0.01)</f>
        <v>528</v>
      </c>
      <c r="E11" s="2" t="s">
        <v>24</v>
      </c>
      <c r="F11" s="15">
        <v>0</v>
      </c>
    </row>
    <row r="12" spans="2:10" x14ac:dyDescent="0.3">
      <c r="B12" s="2" t="s">
        <v>144</v>
      </c>
      <c r="C12" s="3">
        <v>550</v>
      </c>
      <c r="E12" s="4" t="s">
        <v>28</v>
      </c>
      <c r="F12" s="17">
        <f>SUM(F10:F11)</f>
        <v>5</v>
      </c>
      <c r="G12" s="11">
        <f>F12/$F$36</f>
        <v>6.0056586501374548E-3</v>
      </c>
    </row>
    <row r="13" spans="2:10" x14ac:dyDescent="0.3">
      <c r="B13" s="2" t="s">
        <v>145</v>
      </c>
      <c r="C13" s="65">
        <v>160</v>
      </c>
      <c r="E13" t="s">
        <v>25</v>
      </c>
      <c r="F13" s="5">
        <v>0</v>
      </c>
    </row>
    <row r="14" spans="2:10" x14ac:dyDescent="0.3">
      <c r="B14" s="2" t="s">
        <v>146</v>
      </c>
      <c r="C14" s="77">
        <f>'4. Weight-Price SlideCalculator'!E22+'4. Weight-Price SlideCalculator'!E24</f>
        <v>9</v>
      </c>
      <c r="D14" s="2"/>
      <c r="E14" s="2" t="s">
        <v>26</v>
      </c>
      <c r="F14" s="18">
        <v>0</v>
      </c>
      <c r="I14" s="220" t="s">
        <v>233</v>
      </c>
    </row>
    <row r="15" spans="2:10" x14ac:dyDescent="0.3">
      <c r="B15" s="2" t="s">
        <v>147</v>
      </c>
      <c r="C15" s="149">
        <f>IF($C$11&gt;=$C$12,((($C$11-$C$12)*0.01*$C$14)*-1),((($C$12-$C$11)*0.01*$C$14)))</f>
        <v>1.98</v>
      </c>
      <c r="D15" s="2" t="s">
        <v>148</v>
      </c>
      <c r="E15" s="2" t="s">
        <v>27</v>
      </c>
      <c r="F15" s="20">
        <f>F14*F13</f>
        <v>0</v>
      </c>
      <c r="G15" s="11"/>
    </row>
    <row r="16" spans="2:10" x14ac:dyDescent="0.3">
      <c r="B16" s="164" t="s">
        <v>183</v>
      </c>
      <c r="C16" s="149">
        <f>C13+C15</f>
        <v>161.97999999999999</v>
      </c>
      <c r="D16" s="2"/>
      <c r="E16" s="2"/>
      <c r="F16" s="20"/>
      <c r="G16" s="11"/>
    </row>
    <row r="17" spans="2:9" x14ac:dyDescent="0.3">
      <c r="B17" s="2" t="s">
        <v>7</v>
      </c>
      <c r="C17" s="14">
        <v>0.04</v>
      </c>
      <c r="D17" s="42">
        <f>C16*C17</f>
        <v>6.4791999999999996</v>
      </c>
      <c r="E17" s="4" t="s">
        <v>45</v>
      </c>
      <c r="F17" s="17">
        <f>F12+F15</f>
        <v>5</v>
      </c>
      <c r="G17" s="11">
        <f>F17/$F$36</f>
        <v>6.0056586501374548E-3</v>
      </c>
      <c r="I17" s="32"/>
    </row>
    <row r="18" spans="2:9" x14ac:dyDescent="0.3">
      <c r="B18" s="2" t="s">
        <v>8</v>
      </c>
      <c r="C18" s="18">
        <v>6</v>
      </c>
      <c r="D18" s="42">
        <f>((C18/C11*100))</f>
        <v>1.1363636363636365</v>
      </c>
      <c r="E18" s="2" t="s">
        <v>187</v>
      </c>
      <c r="F18" s="166">
        <f>C3</f>
        <v>24</v>
      </c>
    </row>
    <row r="19" spans="2:9" x14ac:dyDescent="0.3">
      <c r="B19" s="2" t="s">
        <v>67</v>
      </c>
      <c r="C19" s="19">
        <f>(C13+C15-D17-D18)</f>
        <v>154.36443636363637</v>
      </c>
      <c r="D19" s="165">
        <f>C16-D17-D18</f>
        <v>154.36443636363637</v>
      </c>
      <c r="E19" t="s">
        <v>29</v>
      </c>
      <c r="F19" s="15">
        <v>0</v>
      </c>
    </row>
    <row r="20" spans="2:9" x14ac:dyDescent="0.3">
      <c r="B20" s="4" t="s">
        <v>91</v>
      </c>
      <c r="C20" s="19">
        <f>C19*C11*0.01</f>
        <v>815.0442240000001</v>
      </c>
      <c r="E20" t="s">
        <v>30</v>
      </c>
      <c r="F20" s="17">
        <f>F19*F18</f>
        <v>0</v>
      </c>
      <c r="G20" s="11">
        <f>F20/$F$36</f>
        <v>0</v>
      </c>
      <c r="I20" s="48"/>
    </row>
    <row r="21" spans="2:9" x14ac:dyDescent="0.3">
      <c r="B21" s="4"/>
      <c r="C21" s="19"/>
      <c r="E21" s="146" t="s">
        <v>186</v>
      </c>
      <c r="F21" s="15">
        <v>5</v>
      </c>
      <c r="I21" s="48"/>
    </row>
    <row r="22" spans="2:9" x14ac:dyDescent="0.3">
      <c r="B22" s="75" t="s">
        <v>74</v>
      </c>
      <c r="E22" s="4" t="s">
        <v>81</v>
      </c>
      <c r="F22" s="17">
        <f>F17+F20+F21</f>
        <v>10</v>
      </c>
      <c r="G22" s="11">
        <f>F22/$F$36</f>
        <v>1.201131730027491E-2</v>
      </c>
    </row>
    <row r="23" spans="2:9" x14ac:dyDescent="0.3">
      <c r="B23" s="2" t="s">
        <v>75</v>
      </c>
      <c r="C23" s="13">
        <v>0</v>
      </c>
      <c r="I23" s="8"/>
    </row>
    <row r="24" spans="2:9" x14ac:dyDescent="0.3">
      <c r="B24" s="2" t="s">
        <v>76</v>
      </c>
      <c r="C24" s="7">
        <f>C23*F18</f>
        <v>0</v>
      </c>
      <c r="E24" s="4" t="s">
        <v>13</v>
      </c>
      <c r="I24" s="2"/>
    </row>
    <row r="25" spans="2:9" x14ac:dyDescent="0.3">
      <c r="B25" s="2" t="s">
        <v>77</v>
      </c>
      <c r="C25" s="7">
        <f>C24+C9</f>
        <v>550</v>
      </c>
      <c r="E25" s="2" t="s">
        <v>31</v>
      </c>
      <c r="F25" s="15">
        <v>0</v>
      </c>
      <c r="I25" s="16"/>
    </row>
    <row r="26" spans="2:9" x14ac:dyDescent="0.3">
      <c r="B26" s="2" t="s">
        <v>78</v>
      </c>
      <c r="C26" s="14">
        <v>0.02</v>
      </c>
      <c r="D26" s="43" t="s">
        <v>14</v>
      </c>
      <c r="E26" s="2" t="s">
        <v>32</v>
      </c>
      <c r="F26" s="15">
        <v>0.2</v>
      </c>
    </row>
    <row r="27" spans="2:9" x14ac:dyDescent="0.3">
      <c r="B27" s="2" t="s">
        <v>79</v>
      </c>
      <c r="C27" s="40">
        <f>C25*(1-C26)</f>
        <v>539</v>
      </c>
      <c r="D27" s="41">
        <f>IF(C23=0,0,((C27-C9)/F18))</f>
        <v>0</v>
      </c>
      <c r="E27" s="4" t="s">
        <v>82</v>
      </c>
      <c r="F27" s="44">
        <f>F26*F18+F25*F18</f>
        <v>4.8000000000000007</v>
      </c>
      <c r="G27" s="11">
        <f>F27/$F$36</f>
        <v>5.7654323041319575E-3</v>
      </c>
      <c r="I27" s="2" t="s">
        <v>20</v>
      </c>
    </row>
    <row r="28" spans="2:9" x14ac:dyDescent="0.3">
      <c r="B28" s="2" t="s">
        <v>184</v>
      </c>
      <c r="C28" s="77">
        <f>C13</f>
        <v>160</v>
      </c>
      <c r="D28" s="43"/>
      <c r="E28" s="4"/>
      <c r="F28" s="44"/>
      <c r="G28" s="11"/>
      <c r="I28" t="s">
        <v>5</v>
      </c>
    </row>
    <row r="29" spans="2:9" x14ac:dyDescent="0.3">
      <c r="B29" s="2" t="s">
        <v>88</v>
      </c>
      <c r="C29" s="18">
        <v>0</v>
      </c>
      <c r="D29" s="78"/>
      <c r="E29" s="4" t="s">
        <v>152</v>
      </c>
    </row>
    <row r="30" spans="2:9" x14ac:dyDescent="0.3">
      <c r="B30" s="2" t="s">
        <v>147</v>
      </c>
      <c r="C30" s="149">
        <f>IF($C$27&gt;=$C$12,((($C$27-$C$12)*0.01*$C$14)*-1),((($C$12-$C$27)*0.01*$C$14)))</f>
        <v>0.99</v>
      </c>
      <c r="D30" s="81"/>
      <c r="E30" s="2" t="s">
        <v>33</v>
      </c>
      <c r="F30" s="14">
        <v>0.05</v>
      </c>
    </row>
    <row r="31" spans="2:9" ht="12.9" thickBot="1" x14ac:dyDescent="0.35">
      <c r="B31" s="2"/>
      <c r="C31" s="149"/>
      <c r="D31" s="81"/>
      <c r="E31" s="4" t="s">
        <v>34</v>
      </c>
      <c r="F31" s="19">
        <f>C41*F30</f>
        <v>2.7039262158904118</v>
      </c>
      <c r="G31" s="11">
        <f>F31/$F$36</f>
        <v>3.2477715735591377E-3</v>
      </c>
    </row>
    <row r="32" spans="2:9" ht="12.9" thickTop="1" x14ac:dyDescent="0.3">
      <c r="B32" s="4" t="s">
        <v>65</v>
      </c>
      <c r="C32" s="77">
        <f>(C13+C29+C30)</f>
        <v>160.99</v>
      </c>
      <c r="D32" s="76"/>
      <c r="E32" s="4" t="s">
        <v>83</v>
      </c>
      <c r="F32" s="39">
        <f>F22+F27+F31</f>
        <v>17.503926215890413</v>
      </c>
      <c r="G32" s="11">
        <f>F32/$F$36</f>
        <v>2.1024521177966007E-2</v>
      </c>
      <c r="I32" s="2" t="s">
        <v>3</v>
      </c>
    </row>
    <row r="33" spans="2:10" x14ac:dyDescent="0.3">
      <c r="B33" s="2" t="s">
        <v>43</v>
      </c>
      <c r="C33" s="47">
        <v>2.5</v>
      </c>
      <c r="D33" s="42">
        <f>(C33*0.01*C32)</f>
        <v>4.02475</v>
      </c>
      <c r="I33" s="9">
        <f>G32+G34</f>
        <v>1</v>
      </c>
      <c r="J33" s="2" t="s">
        <v>1</v>
      </c>
    </row>
    <row r="34" spans="2:10" x14ac:dyDescent="0.3">
      <c r="B34" s="2" t="s">
        <v>192</v>
      </c>
      <c r="C34" s="18">
        <v>2</v>
      </c>
      <c r="D34" s="42">
        <f>(C34/C27)*100</f>
        <v>0.3710575139146568</v>
      </c>
      <c r="E34" s="4" t="s">
        <v>92</v>
      </c>
      <c r="F34" s="23">
        <f>C20</f>
        <v>815.0442240000001</v>
      </c>
      <c r="G34" s="11">
        <f>F34/$F$36</f>
        <v>0.97897547882203406</v>
      </c>
      <c r="H34" s="6"/>
      <c r="I34" s="34"/>
      <c r="J34" s="2"/>
    </row>
    <row r="35" spans="2:10" x14ac:dyDescent="0.3">
      <c r="C35" s="54"/>
      <c r="D35" s="32"/>
      <c r="E35" s="2"/>
      <c r="F35" s="25" t="s">
        <v>87</v>
      </c>
      <c r="G35" s="17" t="s">
        <v>84</v>
      </c>
      <c r="H35" s="6"/>
      <c r="I35" s="32"/>
    </row>
    <row r="36" spans="2:10" x14ac:dyDescent="0.3">
      <c r="B36" s="55" t="s">
        <v>47</v>
      </c>
      <c r="C36" s="56">
        <f>$C$32-$D$33-$D$34</f>
        <v>156.59419248608535</v>
      </c>
      <c r="D36" s="53" t="s">
        <v>48</v>
      </c>
      <c r="E36" s="4" t="s">
        <v>95</v>
      </c>
      <c r="F36" s="80">
        <f>F32+F34</f>
        <v>832.54815021589047</v>
      </c>
      <c r="G36" s="19">
        <f>((F36/$C$38)*100)</f>
        <v>154.46162341667727</v>
      </c>
      <c r="H36" s="6"/>
    </row>
    <row r="37" spans="2:10" ht="12.9" thickBot="1" x14ac:dyDescent="0.35">
      <c r="B37" s="2" t="s">
        <v>97</v>
      </c>
      <c r="C37" s="46"/>
      <c r="D37" s="2"/>
      <c r="E37" s="2" t="s">
        <v>15</v>
      </c>
      <c r="F37" s="27">
        <f>C39</f>
        <v>844.04269750000003</v>
      </c>
      <c r="G37" s="19">
        <f>((F37/$C$38)*100)</f>
        <v>156.59419248608535</v>
      </c>
      <c r="H37" s="6"/>
      <c r="I37" s="2" t="s">
        <v>94</v>
      </c>
    </row>
    <row r="38" spans="2:10" ht="13.3" thickTop="1" thickBot="1" x14ac:dyDescent="0.35">
      <c r="B38" s="2" t="s">
        <v>11</v>
      </c>
      <c r="C38" s="40">
        <f>(1-($C$37*0.01))*$C$27</f>
        <v>539</v>
      </c>
      <c r="D38" s="8"/>
      <c r="E38" s="4" t="s">
        <v>90</v>
      </c>
      <c r="F38" s="17">
        <f>F37-F36</f>
        <v>11.494547284109558</v>
      </c>
      <c r="G38" s="82">
        <f>((F38/$C$38)*100)</f>
        <v>2.1325690694080812</v>
      </c>
      <c r="H38" s="6"/>
      <c r="I38" s="2"/>
    </row>
    <row r="39" spans="2:10" ht="12.9" thickTop="1" x14ac:dyDescent="0.3">
      <c r="B39" s="4" t="s">
        <v>195</v>
      </c>
      <c r="C39" s="45">
        <f>C36*C38*0.01</f>
        <v>844.04269750000003</v>
      </c>
      <c r="D39" s="168">
        <f>((C39/C38)*100)</f>
        <v>156.59419248608535</v>
      </c>
      <c r="H39" s="6"/>
      <c r="I39" s="32"/>
    </row>
    <row r="40" spans="2:10" x14ac:dyDescent="0.3">
      <c r="D40" s="4"/>
      <c r="E40" s="4" t="s">
        <v>2</v>
      </c>
      <c r="F40" s="25" t="s">
        <v>87</v>
      </c>
      <c r="G40" s="16"/>
    </row>
    <row r="41" spans="2:10" x14ac:dyDescent="0.3">
      <c r="B41" s="2" t="s">
        <v>85</v>
      </c>
      <c r="C41" s="22">
        <f>(($C$20+($F$22+$F$27)*0.5))*$F$18/365</f>
        <v>54.078524317808231</v>
      </c>
      <c r="D41" s="4"/>
      <c r="E41" s="2" t="s">
        <v>35</v>
      </c>
      <c r="F41" s="28">
        <f>F37-F34</f>
        <v>28.998473499999932</v>
      </c>
      <c r="G41" s="16"/>
    </row>
    <row r="42" spans="2:10" ht="12.9" thickBot="1" x14ac:dyDescent="0.35">
      <c r="B42" s="2" t="s">
        <v>63</v>
      </c>
      <c r="C42" s="16">
        <f>F44+F31</f>
        <v>14.19847349999997</v>
      </c>
      <c r="D42" s="17"/>
      <c r="E42" s="2" t="s">
        <v>36</v>
      </c>
      <c r="F42" s="29">
        <f>F32</f>
        <v>17.503926215890413</v>
      </c>
      <c r="G42" s="16"/>
    </row>
    <row r="43" spans="2:10" ht="12.9" thickTop="1" x14ac:dyDescent="0.3">
      <c r="E43" s="2"/>
      <c r="F43" s="28"/>
      <c r="G43" s="17" t="s">
        <v>155</v>
      </c>
    </row>
    <row r="44" spans="2:10" x14ac:dyDescent="0.3">
      <c r="B44" s="55" t="s">
        <v>37</v>
      </c>
      <c r="C44" s="63">
        <f>((F38+F31)/C41)</f>
        <v>0.26255290208287668</v>
      </c>
      <c r="D44" s="17"/>
      <c r="E44" s="55" t="s">
        <v>71</v>
      </c>
      <c r="F44" s="62">
        <f>F37-F36</f>
        <v>11.494547284109558</v>
      </c>
      <c r="G44" s="62">
        <f>((F44/C38)*100)</f>
        <v>2.1325690694080812</v>
      </c>
    </row>
    <row r="45" spans="2:10" x14ac:dyDescent="0.3">
      <c r="B45" s="4"/>
      <c r="C45" s="10"/>
      <c r="D45" s="17"/>
      <c r="E45" s="4"/>
      <c r="F45" s="17"/>
      <c r="G45" s="38"/>
    </row>
    <row r="46" spans="2:10" x14ac:dyDescent="0.3">
      <c r="B46" s="35" t="s">
        <v>69</v>
      </c>
      <c r="C46" s="51" t="str">
        <f>IF($D$27&lt;=0,("No Gain"),((C39-C20)/I34))</f>
        <v>No Gain</v>
      </c>
      <c r="D46" s="17"/>
      <c r="E46" s="35" t="s">
        <v>70</v>
      </c>
      <c r="F46" s="51" t="str">
        <f>IF($D$27&lt;=0,(" No Gain"),(I35))</f>
        <v xml:space="preserve"> No Gain</v>
      </c>
      <c r="G46" s="38"/>
    </row>
    <row r="47" spans="2:10" x14ac:dyDescent="0.3">
      <c r="B47" s="4" t="s">
        <v>21</v>
      </c>
      <c r="C47" s="11"/>
      <c r="D47" s="4"/>
      <c r="E47" s="4"/>
      <c r="F47" s="26"/>
      <c r="G47" s="21"/>
    </row>
    <row r="48" spans="2:10" ht="14.15" x14ac:dyDescent="0.35">
      <c r="B48" s="4"/>
      <c r="C48" s="225" t="s">
        <v>86</v>
      </c>
      <c r="D48" s="226"/>
      <c r="E48" s="2"/>
      <c r="F48" s="227" t="s">
        <v>57</v>
      </c>
      <c r="G48" s="228"/>
    </row>
    <row r="49" spans="2:10" x14ac:dyDescent="0.3">
      <c r="B49" s="4" t="s">
        <v>38</v>
      </c>
      <c r="C49" s="57" t="s">
        <v>4</v>
      </c>
      <c r="D49" s="57" t="s">
        <v>66</v>
      </c>
      <c r="E49" s="2" t="s">
        <v>58</v>
      </c>
      <c r="F49" s="32">
        <f>C29</f>
        <v>0</v>
      </c>
      <c r="G49" s="35" t="s">
        <v>59</v>
      </c>
      <c r="H49" s="26"/>
    </row>
    <row r="50" spans="2:10" x14ac:dyDescent="0.3">
      <c r="B50" s="4" t="s">
        <v>60</v>
      </c>
      <c r="C50" s="52">
        <v>10</v>
      </c>
      <c r="D50" s="33">
        <f>D59</f>
        <v>156.31691098625055</v>
      </c>
      <c r="E50" s="2" t="s">
        <v>61</v>
      </c>
      <c r="F50" s="19">
        <f>D58</f>
        <v>-0.27728149983479738</v>
      </c>
      <c r="G50" s="60">
        <f>((C50+F31)/C41)</f>
        <v>0.23491628841852419</v>
      </c>
      <c r="H50" s="26"/>
      <c r="I50" s="16"/>
    </row>
    <row r="51" spans="2:10" ht="12.9" thickBot="1" x14ac:dyDescent="0.35">
      <c r="B51" s="4"/>
      <c r="C51" s="52"/>
      <c r="D51" s="59"/>
      <c r="E51" s="61" t="s">
        <v>62</v>
      </c>
      <c r="F51" s="56">
        <f>F49+F50</f>
        <v>-0.27728149983479738</v>
      </c>
      <c r="G51" s="21"/>
      <c r="I51" s="32"/>
      <c r="J51" s="2" t="s">
        <v>50</v>
      </c>
    </row>
    <row r="52" spans="2:10" ht="12.9" thickTop="1" x14ac:dyDescent="0.3">
      <c r="B52" s="68"/>
      <c r="C52" s="69"/>
      <c r="D52" s="70"/>
      <c r="E52" s="69"/>
      <c r="F52" s="71"/>
      <c r="G52" s="69"/>
    </row>
    <row r="53" spans="2:10" x14ac:dyDescent="0.3">
      <c r="B53" s="2" t="s">
        <v>68</v>
      </c>
      <c r="D53" s="12"/>
    </row>
    <row r="54" spans="2:10" ht="12.9" thickBot="1" x14ac:dyDescent="0.35">
      <c r="B54" s="4" t="s">
        <v>10</v>
      </c>
      <c r="C54" s="30">
        <f>G32</f>
        <v>2.1024521177966007E-2</v>
      </c>
      <c r="D54" s="2" t="s">
        <v>0</v>
      </c>
    </row>
    <row r="55" spans="2:10" ht="12.9" thickTop="1" x14ac:dyDescent="0.3">
      <c r="B55" s="68"/>
      <c r="C55" s="69"/>
      <c r="D55" s="70"/>
      <c r="E55" s="69"/>
      <c r="F55" s="71"/>
      <c r="G55" s="69"/>
    </row>
    <row r="56" spans="2:10" x14ac:dyDescent="0.3">
      <c r="C56" s="4" t="s">
        <v>51</v>
      </c>
    </row>
    <row r="57" spans="2:10" x14ac:dyDescent="0.3">
      <c r="C57" s="2" t="s">
        <v>52</v>
      </c>
      <c r="D57" s="2" t="s">
        <v>53</v>
      </c>
    </row>
    <row r="58" spans="2:10" x14ac:dyDescent="0.3">
      <c r="C58" s="56">
        <f>$C$32-$D$33-$D$34</f>
        <v>156.59419248608535</v>
      </c>
      <c r="D58" s="135">
        <f>((C50-F44)/C38)*100</f>
        <v>-0.27728149983479738</v>
      </c>
      <c r="E58" s="2" t="s">
        <v>54</v>
      </c>
    </row>
    <row r="59" spans="2:10" x14ac:dyDescent="0.3">
      <c r="B59" s="4"/>
      <c r="C59" s="2" t="s">
        <v>66</v>
      </c>
      <c r="D59" s="153">
        <f>C58+D58</f>
        <v>156.31691098625055</v>
      </c>
      <c r="E59" t="s">
        <v>134</v>
      </c>
    </row>
    <row r="60" spans="2:10" x14ac:dyDescent="0.3">
      <c r="C60" s="2" t="s">
        <v>133</v>
      </c>
      <c r="D60" s="8">
        <f>$C$38</f>
        <v>539</v>
      </c>
      <c r="E60" s="2" t="s">
        <v>55</v>
      </c>
    </row>
    <row r="61" spans="2:10" x14ac:dyDescent="0.3">
      <c r="C61" s="58" t="s">
        <v>49</v>
      </c>
      <c r="D61" s="19">
        <f>D59*C38*0.01</f>
        <v>842.54815021589047</v>
      </c>
    </row>
    <row r="62" spans="2:10" x14ac:dyDescent="0.3">
      <c r="C62" s="2" t="s">
        <v>141</v>
      </c>
      <c r="D62" s="31">
        <f>D61-F36</f>
        <v>10</v>
      </c>
      <c r="E62" s="2" t="s">
        <v>56</v>
      </c>
    </row>
    <row r="64" spans="2:10" x14ac:dyDescent="0.3">
      <c r="B64" s="2" t="s">
        <v>139</v>
      </c>
    </row>
    <row r="65" spans="3:3" x14ac:dyDescent="0.3">
      <c r="C65" s="2"/>
    </row>
  </sheetData>
  <sheetProtection sheet="1" objects="1" scenarios="1"/>
  <mergeCells count="5">
    <mergeCell ref="B1:G1"/>
    <mergeCell ref="D3:E3"/>
    <mergeCell ref="C48:D48"/>
    <mergeCell ref="F48:G48"/>
    <mergeCell ref="C5:F5"/>
  </mergeCells>
  <pageMargins left="0.95" right="0.45" top="0.75" bottom="0.75" header="0.3" footer="0.3"/>
  <pageSetup scale="89"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2"/>
  <sheetViews>
    <sheetView topLeftCell="A31" workbookViewId="0">
      <selection activeCell="C14" sqref="C14"/>
    </sheetView>
  </sheetViews>
  <sheetFormatPr defaultRowHeight="12.45" x14ac:dyDescent="0.3"/>
  <cols>
    <col min="1" max="1" width="3.07421875" customWidth="1"/>
    <col min="2" max="2" width="32.69140625" customWidth="1"/>
    <col min="3" max="3" width="13" customWidth="1"/>
    <col min="4" max="4" width="12.23046875" customWidth="1"/>
    <col min="5" max="5" width="27" customWidth="1"/>
    <col min="6" max="6" width="12.4609375" customWidth="1"/>
    <col min="7" max="7" width="9.53515625" customWidth="1"/>
  </cols>
  <sheetData>
    <row r="1" spans="2:10" ht="15.45" x14ac:dyDescent="0.4">
      <c r="B1" s="221" t="s">
        <v>42</v>
      </c>
      <c r="C1" s="222"/>
      <c r="D1" s="222"/>
      <c r="E1" s="222"/>
      <c r="F1" s="222"/>
      <c r="G1" s="222"/>
    </row>
    <row r="2" spans="2:10" ht="15.45" x14ac:dyDescent="0.4">
      <c r="B2" s="84"/>
      <c r="C2" s="85"/>
      <c r="D2" s="85"/>
      <c r="E2" s="76" t="s">
        <v>80</v>
      </c>
      <c r="F2" s="50">
        <v>42402</v>
      </c>
      <c r="G2" s="84"/>
    </row>
    <row r="3" spans="2:10" ht="15.45" x14ac:dyDescent="0.4">
      <c r="B3" s="90" t="s">
        <v>101</v>
      </c>
      <c r="C3" s="89">
        <v>34</v>
      </c>
      <c r="D3" s="223" t="s">
        <v>72</v>
      </c>
      <c r="E3" s="224"/>
      <c r="F3" s="66"/>
      <c r="G3" s="67"/>
    </row>
    <row r="4" spans="2:10" ht="15.45" x14ac:dyDescent="0.4">
      <c r="B4" s="1"/>
      <c r="F4" s="36"/>
      <c r="G4" s="36"/>
    </row>
    <row r="5" spans="2:10" ht="15.45" x14ac:dyDescent="0.4">
      <c r="B5" s="1" t="s">
        <v>9</v>
      </c>
      <c r="C5" s="229" t="s">
        <v>127</v>
      </c>
      <c r="D5" s="230"/>
      <c r="E5" s="230"/>
      <c r="F5" s="231"/>
      <c r="G5" s="37"/>
    </row>
    <row r="6" spans="2:10" ht="15.45" x14ac:dyDescent="0.4">
      <c r="B6" s="1"/>
      <c r="C6" s="142" t="s">
        <v>125</v>
      </c>
      <c r="D6" s="98"/>
      <c r="E6" s="98"/>
      <c r="F6" s="143" t="s">
        <v>126</v>
      </c>
      <c r="G6" s="37"/>
    </row>
    <row r="7" spans="2:10" ht="14.15" x14ac:dyDescent="0.35">
      <c r="B7" s="49" t="s">
        <v>121</v>
      </c>
      <c r="C7" s="144">
        <f>'1. Vac 24'!C7</f>
        <v>42644</v>
      </c>
      <c r="D7" s="4"/>
      <c r="E7" s="49" t="s">
        <v>122</v>
      </c>
      <c r="F7" s="139">
        <f>C7-C3</f>
        <v>42610</v>
      </c>
      <c r="G7" s="87"/>
      <c r="J7" s="4" t="s">
        <v>153</v>
      </c>
    </row>
    <row r="8" spans="2:10" ht="15.45" x14ac:dyDescent="0.4">
      <c r="B8" s="1"/>
      <c r="D8" s="4"/>
      <c r="G8" s="24"/>
    </row>
    <row r="9" spans="2:10" ht="14.15" x14ac:dyDescent="0.35">
      <c r="B9" s="2" t="s">
        <v>6</v>
      </c>
      <c r="C9" s="92">
        <f>'1. Vac 24'!C9</f>
        <v>550</v>
      </c>
      <c r="D9" s="4"/>
      <c r="E9" s="4" t="s">
        <v>12</v>
      </c>
      <c r="G9" s="83" t="s">
        <v>100</v>
      </c>
    </row>
    <row r="10" spans="2:10" x14ac:dyDescent="0.3">
      <c r="B10" s="2" t="s">
        <v>41</v>
      </c>
      <c r="C10" s="92">
        <f>'1. Vac 24'!C10</f>
        <v>4</v>
      </c>
      <c r="D10" t="s">
        <v>40</v>
      </c>
      <c r="E10" s="2" t="s">
        <v>23</v>
      </c>
      <c r="F10" s="15">
        <v>9</v>
      </c>
      <c r="I10" t="s">
        <v>19</v>
      </c>
    </row>
    <row r="11" spans="2:10" x14ac:dyDescent="0.3">
      <c r="B11" t="s">
        <v>22</v>
      </c>
      <c r="C11" s="92">
        <f>'1. Vac 24'!C11</f>
        <v>528</v>
      </c>
      <c r="E11" s="2" t="s">
        <v>24</v>
      </c>
      <c r="F11" s="15">
        <v>0</v>
      </c>
    </row>
    <row r="12" spans="2:10" x14ac:dyDescent="0.3">
      <c r="B12" s="2" t="s">
        <v>144</v>
      </c>
      <c r="C12" s="92">
        <f>'1. Vac 24'!C12</f>
        <v>550</v>
      </c>
      <c r="E12" s="4" t="s">
        <v>28</v>
      </c>
      <c r="F12" s="17">
        <f>SUM(F10:F11)</f>
        <v>9</v>
      </c>
      <c r="G12" s="11">
        <f>F12/$F$36</f>
        <v>1.0760645215221715E-2</v>
      </c>
    </row>
    <row r="13" spans="2:10" x14ac:dyDescent="0.3">
      <c r="B13" s="2" t="s">
        <v>145</v>
      </c>
      <c r="C13" s="147">
        <f>'1. Vac 24'!C13</f>
        <v>160</v>
      </c>
      <c r="D13" s="2" t="s">
        <v>64</v>
      </c>
      <c r="E13" t="s">
        <v>25</v>
      </c>
      <c r="F13" s="5">
        <v>0</v>
      </c>
    </row>
    <row r="14" spans="2:10" x14ac:dyDescent="0.3">
      <c r="B14" s="2" t="s">
        <v>146</v>
      </c>
      <c r="C14" s="95">
        <f>'1. Vac 24'!C14</f>
        <v>9</v>
      </c>
      <c r="D14" s="2"/>
      <c r="E14" s="2" t="s">
        <v>26</v>
      </c>
      <c r="F14" s="18">
        <v>0</v>
      </c>
    </row>
    <row r="15" spans="2:10" x14ac:dyDescent="0.3">
      <c r="B15" s="2" t="s">
        <v>147</v>
      </c>
      <c r="C15" s="149">
        <f>IF($C$11&gt;=$C$12,((($C$11-$C$12)*0.01*$C$14)*-1),((($C$12-$C$11)*0.01*$C$14)))</f>
        <v>1.98</v>
      </c>
      <c r="D15" s="2"/>
      <c r="E15" s="2" t="s">
        <v>27</v>
      </c>
      <c r="F15" s="99">
        <f>F14*F13</f>
        <v>0</v>
      </c>
      <c r="G15" s="11"/>
      <c r="I15" s="220" t="s">
        <v>234</v>
      </c>
    </row>
    <row r="16" spans="2:10" x14ac:dyDescent="0.3">
      <c r="B16" s="164" t="s">
        <v>183</v>
      </c>
      <c r="C16" s="149">
        <f>C15+C13</f>
        <v>161.97999999999999</v>
      </c>
      <c r="D16" s="2"/>
      <c r="E16" s="2"/>
      <c r="F16" s="99"/>
      <c r="G16" s="11"/>
    </row>
    <row r="17" spans="2:9" x14ac:dyDescent="0.3">
      <c r="B17" s="2" t="s">
        <v>7</v>
      </c>
      <c r="C17" s="94">
        <f>'1. Vac 24'!C17</f>
        <v>0.04</v>
      </c>
      <c r="D17" s="42">
        <f>C16*C17</f>
        <v>6.4791999999999996</v>
      </c>
      <c r="E17" s="4" t="s">
        <v>45</v>
      </c>
      <c r="F17" s="17">
        <f>F12+F15</f>
        <v>9</v>
      </c>
      <c r="G17" s="11">
        <f>F17/$F$36</f>
        <v>1.0760645215221715E-2</v>
      </c>
      <c r="I17" s="32"/>
    </row>
    <row r="18" spans="2:9" x14ac:dyDescent="0.3">
      <c r="B18" s="2" t="s">
        <v>8</v>
      </c>
      <c r="C18" s="95">
        <f>'1. Vac 24'!C18</f>
        <v>6</v>
      </c>
      <c r="D18" s="42">
        <f>((C18/C11*100))</f>
        <v>1.1363636363636365</v>
      </c>
      <c r="E18" s="2" t="s">
        <v>187</v>
      </c>
      <c r="F18" s="166">
        <f>C3</f>
        <v>34</v>
      </c>
    </row>
    <row r="19" spans="2:9" x14ac:dyDescent="0.3">
      <c r="B19" s="2" t="s">
        <v>67</v>
      </c>
      <c r="C19" s="19">
        <f>(C13+C15-D17-D18)</f>
        <v>154.36443636363637</v>
      </c>
      <c r="D19" s="85"/>
      <c r="E19" t="s">
        <v>29</v>
      </c>
      <c r="F19" s="15">
        <v>0</v>
      </c>
    </row>
    <row r="20" spans="2:9" x14ac:dyDescent="0.3">
      <c r="B20" s="4" t="s">
        <v>91</v>
      </c>
      <c r="C20" s="19">
        <f>C19*C11*0.01</f>
        <v>815.0442240000001</v>
      </c>
      <c r="E20" t="s">
        <v>30</v>
      </c>
      <c r="F20" s="17">
        <f>F19*F18</f>
        <v>0</v>
      </c>
      <c r="G20" s="11">
        <f>F20/$F$36</f>
        <v>0</v>
      </c>
      <c r="I20" s="48"/>
    </row>
    <row r="21" spans="2:9" x14ac:dyDescent="0.3">
      <c r="B21" s="4"/>
      <c r="C21" s="19"/>
      <c r="E21" s="146" t="s">
        <v>185</v>
      </c>
      <c r="F21" s="15">
        <v>0</v>
      </c>
      <c r="I21" s="48"/>
    </row>
    <row r="22" spans="2:9" x14ac:dyDescent="0.3">
      <c r="B22" s="75" t="s">
        <v>74</v>
      </c>
      <c r="E22" s="4" t="s">
        <v>81</v>
      </c>
      <c r="F22" s="17">
        <f>F17+F20+F21</f>
        <v>9</v>
      </c>
      <c r="G22" s="11">
        <f>F22/$F$36</f>
        <v>1.0760645215221715E-2</v>
      </c>
    </row>
    <row r="23" spans="2:9" x14ac:dyDescent="0.3">
      <c r="B23" s="2" t="s">
        <v>75</v>
      </c>
      <c r="C23" s="13">
        <v>0</v>
      </c>
      <c r="I23" s="8"/>
    </row>
    <row r="24" spans="2:9" x14ac:dyDescent="0.3">
      <c r="B24" s="2" t="s">
        <v>76</v>
      </c>
      <c r="C24" s="7">
        <f>C23*F18</f>
        <v>0</v>
      </c>
      <c r="E24" s="4" t="s">
        <v>188</v>
      </c>
      <c r="F24" s="4"/>
      <c r="I24" s="2"/>
    </row>
    <row r="25" spans="2:9" x14ac:dyDescent="0.3">
      <c r="B25" s="2" t="s">
        <v>77</v>
      </c>
      <c r="C25" s="7">
        <f>C24+C9</f>
        <v>550</v>
      </c>
      <c r="E25" s="2" t="s">
        <v>31</v>
      </c>
      <c r="F25" s="15">
        <v>0</v>
      </c>
      <c r="I25" s="16"/>
    </row>
    <row r="26" spans="2:9" x14ac:dyDescent="0.3">
      <c r="B26" s="2" t="s">
        <v>78</v>
      </c>
      <c r="C26" s="14">
        <v>0.02</v>
      </c>
      <c r="D26" s="43"/>
      <c r="E26" s="2" t="s">
        <v>32</v>
      </c>
      <c r="F26" s="15">
        <v>0.25</v>
      </c>
    </row>
    <row r="27" spans="2:9" x14ac:dyDescent="0.3">
      <c r="B27" s="2" t="s">
        <v>79</v>
      </c>
      <c r="C27" s="40">
        <f>C25*(1-C26)</f>
        <v>539</v>
      </c>
      <c r="D27" s="41"/>
      <c r="E27" s="4" t="s">
        <v>82</v>
      </c>
      <c r="F27" s="44">
        <f>F26*F18+F25*F18</f>
        <v>8.5</v>
      </c>
      <c r="G27" s="11">
        <f>F27/$F$36</f>
        <v>1.0162831592153842E-2</v>
      </c>
      <c r="I27" s="2" t="s">
        <v>20</v>
      </c>
    </row>
    <row r="28" spans="2:9" x14ac:dyDescent="0.3">
      <c r="B28" s="2" t="s">
        <v>184</v>
      </c>
      <c r="C28" s="77">
        <f>'1. Vac 24'!C28</f>
        <v>160</v>
      </c>
      <c r="D28" s="43"/>
      <c r="E28" s="4"/>
      <c r="F28" s="44"/>
      <c r="G28" s="11"/>
      <c r="I28" t="s">
        <v>5</v>
      </c>
    </row>
    <row r="29" spans="2:9" x14ac:dyDescent="0.3">
      <c r="B29" s="2" t="s">
        <v>88</v>
      </c>
      <c r="C29" s="18">
        <v>4</v>
      </c>
      <c r="D29" s="78"/>
      <c r="E29" s="4" t="s">
        <v>152</v>
      </c>
    </row>
    <row r="30" spans="2:9" x14ac:dyDescent="0.3">
      <c r="B30" s="2" t="s">
        <v>147</v>
      </c>
      <c r="C30" s="149">
        <f>IF($C$27&gt;=$C$12,((($C$27-$C$12)*0.01*$C$14)*-1),((($C$12-$C$27)*0.01*$C$14)))</f>
        <v>0.99</v>
      </c>
      <c r="D30" s="81"/>
      <c r="E30" s="2" t="s">
        <v>33</v>
      </c>
      <c r="F30" s="14">
        <v>0.05</v>
      </c>
    </row>
    <row r="31" spans="2:9" ht="12.9" thickBot="1" x14ac:dyDescent="0.35">
      <c r="B31" s="2"/>
      <c r="C31" s="149"/>
      <c r="D31" s="81"/>
      <c r="E31" s="4" t="s">
        <v>34</v>
      </c>
      <c r="F31" s="19">
        <f>C41*F30</f>
        <v>3.8368498104109592</v>
      </c>
      <c r="G31" s="11">
        <f>F31/$F$36</f>
        <v>4.587442172658115E-3</v>
      </c>
    </row>
    <row r="32" spans="2:9" ht="12.9" thickTop="1" x14ac:dyDescent="0.3">
      <c r="B32" s="4" t="s">
        <v>65</v>
      </c>
      <c r="C32" s="77">
        <f>(C28+C29+C30)</f>
        <v>164.99</v>
      </c>
      <c r="D32" s="76" t="s">
        <v>66</v>
      </c>
      <c r="E32" s="4" t="s">
        <v>83</v>
      </c>
      <c r="F32" s="39">
        <f>F22+F27+F31</f>
        <v>21.336849810410961</v>
      </c>
      <c r="G32" s="11">
        <f>F32/$F$36</f>
        <v>2.5510918980033673E-2</v>
      </c>
      <c r="I32" s="2" t="s">
        <v>3</v>
      </c>
    </row>
    <row r="33" spans="2:10" x14ac:dyDescent="0.3">
      <c r="B33" s="2" t="s">
        <v>43</v>
      </c>
      <c r="C33" s="46">
        <v>2.5</v>
      </c>
      <c r="D33" s="42">
        <f>(C33*0.01*C32)</f>
        <v>4.1247500000000006</v>
      </c>
      <c r="I33" s="9">
        <f>G32+G34</f>
        <v>1</v>
      </c>
      <c r="J33" s="2" t="s">
        <v>1</v>
      </c>
    </row>
    <row r="34" spans="2:10" x14ac:dyDescent="0.3">
      <c r="B34" s="2" t="s">
        <v>192</v>
      </c>
      <c r="C34" s="18">
        <v>2</v>
      </c>
      <c r="D34" s="42">
        <f>(C34/C27)*100</f>
        <v>0.3710575139146568</v>
      </c>
      <c r="E34" s="4" t="s">
        <v>92</v>
      </c>
      <c r="F34" s="23">
        <f>C20</f>
        <v>815.0442240000001</v>
      </c>
      <c r="G34" s="11">
        <f>F34/$F$36</f>
        <v>0.97448908101996634</v>
      </c>
      <c r="H34" s="6"/>
      <c r="I34" s="34"/>
      <c r="J34" s="2"/>
    </row>
    <row r="35" spans="2:10" x14ac:dyDescent="0.3">
      <c r="C35" s="54"/>
      <c r="D35" s="32"/>
      <c r="E35" s="2"/>
      <c r="F35" s="25" t="s">
        <v>87</v>
      </c>
      <c r="G35" s="17" t="s">
        <v>84</v>
      </c>
      <c r="H35" s="6"/>
      <c r="I35" s="32"/>
    </row>
    <row r="36" spans="2:10" x14ac:dyDescent="0.3">
      <c r="B36" s="55" t="s">
        <v>47</v>
      </c>
      <c r="C36" s="56">
        <f>$C$32-$D$33-$D$34</f>
        <v>160.49419248608535</v>
      </c>
      <c r="D36" s="53" t="s">
        <v>48</v>
      </c>
      <c r="E36" s="4" t="s">
        <v>95</v>
      </c>
      <c r="F36" s="80">
        <f>F32+F34</f>
        <v>836.38107381041107</v>
      </c>
      <c r="G36" s="19">
        <f>((F36/$C$38)*100)</f>
        <v>155.17274096668109</v>
      </c>
      <c r="H36" s="6"/>
    </row>
    <row r="37" spans="2:10" ht="12.9" thickBot="1" x14ac:dyDescent="0.35">
      <c r="B37" s="2" t="s">
        <v>97</v>
      </c>
      <c r="C37" s="46">
        <v>0</v>
      </c>
      <c r="D37" s="2"/>
      <c r="E37" s="2" t="s">
        <v>15</v>
      </c>
      <c r="F37" s="27">
        <f>C39</f>
        <v>865.0636975000001</v>
      </c>
      <c r="G37" s="19">
        <f>((F37/$C$38)*100)</f>
        <v>160.49419248608535</v>
      </c>
      <c r="H37" s="6"/>
      <c r="I37" s="2" t="s">
        <v>94</v>
      </c>
    </row>
    <row r="38" spans="2:10" ht="13.3" thickTop="1" thickBot="1" x14ac:dyDescent="0.35">
      <c r="B38" s="2" t="s">
        <v>11</v>
      </c>
      <c r="C38" s="40">
        <f>(1-($C$37*0.01))*$C$27</f>
        <v>539</v>
      </c>
      <c r="D38" s="8"/>
      <c r="E38" s="4" t="s">
        <v>90</v>
      </c>
      <c r="F38" s="17">
        <f>F37-F36</f>
        <v>28.682623689589036</v>
      </c>
      <c r="G38" s="82">
        <f>((F38/$C$38)*100)</f>
        <v>5.321451519404274</v>
      </c>
      <c r="H38" s="6"/>
      <c r="I38" s="2"/>
    </row>
    <row r="39" spans="2:10" ht="12.9" thickTop="1" x14ac:dyDescent="0.3">
      <c r="B39" s="4" t="s">
        <v>195</v>
      </c>
      <c r="C39" s="45">
        <f>C36*C38*0.01</f>
        <v>865.0636975000001</v>
      </c>
      <c r="D39" s="168">
        <f>((C39/C38)*100)</f>
        <v>160.49419248608535</v>
      </c>
      <c r="H39" s="6"/>
      <c r="I39" s="32"/>
    </row>
    <row r="40" spans="2:10" x14ac:dyDescent="0.3">
      <c r="E40" s="4" t="s">
        <v>2</v>
      </c>
      <c r="F40" s="25" t="s">
        <v>87</v>
      </c>
      <c r="G40" s="16"/>
      <c r="H40" s="6"/>
    </row>
    <row r="41" spans="2:10" x14ac:dyDescent="0.3">
      <c r="B41" s="2" t="s">
        <v>85</v>
      </c>
      <c r="C41" s="22">
        <f>(($C$20+($F$22+$F$27)*0.5))*$F$18/365</f>
        <v>76.736996208219182</v>
      </c>
      <c r="D41" s="4"/>
      <c r="E41" s="2" t="s">
        <v>35</v>
      </c>
      <c r="F41" s="28">
        <f>F37-F34</f>
        <v>50.019473500000004</v>
      </c>
      <c r="G41" s="16"/>
    </row>
    <row r="42" spans="2:10" ht="12.9" thickBot="1" x14ac:dyDescent="0.35">
      <c r="B42" s="2" t="s">
        <v>63</v>
      </c>
      <c r="C42" s="16">
        <f>F44+F31</f>
        <v>32.519473499999997</v>
      </c>
      <c r="D42" s="4"/>
      <c r="E42" s="2" t="s">
        <v>36</v>
      </c>
      <c r="F42" s="29">
        <f>F32</f>
        <v>21.336849810410961</v>
      </c>
      <c r="G42" s="16"/>
    </row>
    <row r="43" spans="2:10" ht="12.9" thickTop="1" x14ac:dyDescent="0.3">
      <c r="D43" s="4"/>
      <c r="E43" s="2"/>
      <c r="F43" s="28"/>
      <c r="G43" s="17" t="s">
        <v>156</v>
      </c>
    </row>
    <row r="44" spans="2:10" x14ac:dyDescent="0.3">
      <c r="B44" s="55" t="s">
        <v>37</v>
      </c>
      <c r="C44" s="63">
        <f>((F38+F31)/C41)</f>
        <v>0.42377829608760326</v>
      </c>
      <c r="D44" s="17"/>
      <c r="E44" s="55" t="s">
        <v>71</v>
      </c>
      <c r="F44" s="62">
        <f>F37-F36</f>
        <v>28.682623689589036</v>
      </c>
      <c r="G44" s="62">
        <f>((F44/C38)*100)</f>
        <v>5.321451519404274</v>
      </c>
    </row>
    <row r="46" spans="2:10" x14ac:dyDescent="0.3">
      <c r="B46" s="35" t="s">
        <v>69</v>
      </c>
      <c r="C46" s="51" t="str">
        <f>IF($D$27&lt;=0,("No Gain"),((C39-C20)/I34))</f>
        <v>No Gain</v>
      </c>
      <c r="D46" s="17"/>
      <c r="E46" s="35" t="s">
        <v>70</v>
      </c>
      <c r="F46" s="51" t="str">
        <f>IF($D$27&lt;=0,("No Gain"),(I35))</f>
        <v>No Gain</v>
      </c>
      <c r="G46" s="38"/>
    </row>
    <row r="47" spans="2:10" x14ac:dyDescent="0.3">
      <c r="B47" s="4" t="s">
        <v>21</v>
      </c>
      <c r="C47" s="11"/>
      <c r="D47" s="4"/>
      <c r="E47" s="4"/>
      <c r="F47" s="26"/>
      <c r="G47" s="21"/>
    </row>
    <row r="48" spans="2:10" ht="14.15" x14ac:dyDescent="0.35">
      <c r="B48" s="4"/>
      <c r="C48" s="225" t="s">
        <v>86</v>
      </c>
      <c r="D48" s="226"/>
      <c r="E48" s="2"/>
      <c r="F48" s="227" t="s">
        <v>57</v>
      </c>
      <c r="G48" s="228"/>
    </row>
    <row r="49" spans="2:10" x14ac:dyDescent="0.3">
      <c r="B49" s="4" t="s">
        <v>38</v>
      </c>
      <c r="C49" s="57" t="s">
        <v>4</v>
      </c>
      <c r="D49" s="57" t="s">
        <v>66</v>
      </c>
      <c r="E49" s="2" t="s">
        <v>58</v>
      </c>
      <c r="F49" s="32">
        <f>C29</f>
        <v>4</v>
      </c>
      <c r="G49" s="35" t="s">
        <v>157</v>
      </c>
      <c r="H49" s="26"/>
    </row>
    <row r="50" spans="2:10" x14ac:dyDescent="0.3">
      <c r="B50" s="4" t="s">
        <v>60</v>
      </c>
      <c r="C50" s="52">
        <v>20</v>
      </c>
      <c r="D50" s="33">
        <f>D59</f>
        <v>158.88331610582765</v>
      </c>
      <c r="E50" s="2" t="s">
        <v>61</v>
      </c>
      <c r="F50" s="19">
        <f>D58</f>
        <v>-1.6108763802577062</v>
      </c>
      <c r="G50" s="60">
        <f>((C50+F31)/C41)</f>
        <v>0.31063047797351534</v>
      </c>
      <c r="H50" s="26"/>
      <c r="I50" s="16"/>
    </row>
    <row r="51" spans="2:10" ht="12.9" thickBot="1" x14ac:dyDescent="0.35">
      <c r="B51" s="4"/>
      <c r="C51" s="52"/>
      <c r="D51" s="59"/>
      <c r="E51" s="61" t="s">
        <v>62</v>
      </c>
      <c r="F51" s="56">
        <f>F49+F50</f>
        <v>2.3891236197422936</v>
      </c>
      <c r="G51" s="21"/>
      <c r="I51" s="32"/>
      <c r="J51" s="2" t="s">
        <v>50</v>
      </c>
    </row>
    <row r="52" spans="2:10" ht="12.9" thickTop="1" x14ac:dyDescent="0.3">
      <c r="B52" s="68"/>
      <c r="C52" s="69"/>
      <c r="D52" s="70"/>
      <c r="E52" s="69"/>
      <c r="F52" s="71"/>
      <c r="G52" s="69"/>
    </row>
    <row r="53" spans="2:10" x14ac:dyDescent="0.3">
      <c r="B53" s="105" t="s">
        <v>68</v>
      </c>
      <c r="D53" s="12"/>
    </row>
    <row r="54" spans="2:10" ht="12.9" thickBot="1" x14ac:dyDescent="0.35">
      <c r="B54" s="104" t="s">
        <v>10</v>
      </c>
      <c r="C54" s="30">
        <f>G32</f>
        <v>2.5510918980033673E-2</v>
      </c>
      <c r="D54" s="2" t="s">
        <v>0</v>
      </c>
    </row>
    <row r="55" spans="2:10" ht="12.9" thickTop="1" x14ac:dyDescent="0.3">
      <c r="B55" s="68"/>
      <c r="C55" s="69"/>
      <c r="D55" s="70"/>
      <c r="E55" s="69"/>
      <c r="F55" s="71"/>
      <c r="G55" s="69"/>
    </row>
    <row r="56" spans="2:10" x14ac:dyDescent="0.3">
      <c r="B56" s="106"/>
      <c r="C56" s="4" t="s">
        <v>51</v>
      </c>
    </row>
    <row r="57" spans="2:10" x14ac:dyDescent="0.3">
      <c r="B57" s="106"/>
      <c r="C57" s="2" t="s">
        <v>52</v>
      </c>
      <c r="D57" s="2" t="s">
        <v>53</v>
      </c>
    </row>
    <row r="58" spans="2:10" x14ac:dyDescent="0.3">
      <c r="C58" s="56">
        <f>$C$32-$D$33-$D$34</f>
        <v>160.49419248608535</v>
      </c>
      <c r="D58" s="152">
        <f>((C50-F44)/C38)*100</f>
        <v>-1.6108763802577062</v>
      </c>
      <c r="E58" s="2" t="s">
        <v>54</v>
      </c>
    </row>
    <row r="59" spans="2:10" x14ac:dyDescent="0.3">
      <c r="C59" s="2" t="s">
        <v>66</v>
      </c>
      <c r="D59" s="153">
        <f>C58+D58</f>
        <v>158.88331610582765</v>
      </c>
    </row>
    <row r="60" spans="2:10" x14ac:dyDescent="0.3">
      <c r="C60" s="2" t="s">
        <v>133</v>
      </c>
      <c r="D60" s="8">
        <f>$C$38</f>
        <v>539</v>
      </c>
      <c r="E60" s="2" t="s">
        <v>55</v>
      </c>
    </row>
    <row r="61" spans="2:10" x14ac:dyDescent="0.3">
      <c r="B61" s="102"/>
      <c r="C61" s="2" t="s">
        <v>49</v>
      </c>
      <c r="D61" s="19">
        <f>D59*C38*0.01</f>
        <v>856.38107381041107</v>
      </c>
    </row>
    <row r="62" spans="2:10" x14ac:dyDescent="0.3">
      <c r="B62" s="102"/>
      <c r="C62" s="2" t="s">
        <v>140</v>
      </c>
      <c r="D62" s="31">
        <f>D61-F36</f>
        <v>20</v>
      </c>
      <c r="E62" s="2" t="s">
        <v>56</v>
      </c>
    </row>
    <row r="63" spans="2:10" x14ac:dyDescent="0.3">
      <c r="B63" s="102"/>
      <c r="D63" s="31"/>
      <c r="E63" s="2"/>
    </row>
    <row r="64" spans="2:10" x14ac:dyDescent="0.3">
      <c r="B64" s="2" t="s">
        <v>139</v>
      </c>
      <c r="D64" s="31"/>
      <c r="E64" s="2"/>
    </row>
    <row r="65" spans="2:5" x14ac:dyDescent="0.3">
      <c r="B65" s="103"/>
      <c r="D65" s="31"/>
      <c r="E65" s="2"/>
    </row>
    <row r="66" spans="2:5" x14ac:dyDescent="0.3">
      <c r="B66" s="53"/>
      <c r="D66" s="31"/>
      <c r="E66" s="2"/>
    </row>
    <row r="67" spans="2:5" x14ac:dyDescent="0.3">
      <c r="B67" s="53"/>
      <c r="D67" s="31"/>
      <c r="E67" s="2"/>
    </row>
    <row r="68" spans="2:5" x14ac:dyDescent="0.3">
      <c r="B68" s="53"/>
      <c r="D68" s="31"/>
      <c r="E68" s="2"/>
    </row>
    <row r="69" spans="2:5" x14ac:dyDescent="0.3">
      <c r="B69" s="53"/>
      <c r="D69" s="31"/>
      <c r="E69" s="2"/>
    </row>
    <row r="72" spans="2:5" x14ac:dyDescent="0.3">
      <c r="C72" s="2"/>
    </row>
  </sheetData>
  <sheetProtection sheet="1" objects="1" scenarios="1"/>
  <mergeCells count="5">
    <mergeCell ref="B1:G1"/>
    <mergeCell ref="D3:E3"/>
    <mergeCell ref="C48:D48"/>
    <mergeCell ref="F48:G48"/>
    <mergeCell ref="C5:F5"/>
  </mergeCells>
  <pageMargins left="0.95" right="0.7" top="0.75" bottom="0.75" header="0.3" footer="0.3"/>
  <pageSetup scale="85"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7"/>
  <sheetViews>
    <sheetView topLeftCell="A32" zoomScaleNormal="100" workbookViewId="0">
      <selection activeCell="B47" sqref="B47"/>
    </sheetView>
  </sheetViews>
  <sheetFormatPr defaultRowHeight="12.45" x14ac:dyDescent="0.3"/>
  <cols>
    <col min="1" max="1" width="2.765625" customWidth="1"/>
    <col min="2" max="2" width="30.921875" customWidth="1"/>
    <col min="3" max="3" width="11.84375" customWidth="1"/>
    <col min="4" max="4" width="10.765625" customWidth="1"/>
    <col min="5" max="5" width="25.4609375" customWidth="1"/>
    <col min="6" max="6" width="10.84375" customWidth="1"/>
    <col min="7" max="7" width="9.921875" customWidth="1"/>
  </cols>
  <sheetData>
    <row r="1" spans="2:10" ht="15.45" x14ac:dyDescent="0.4">
      <c r="B1" s="221" t="s">
        <v>42</v>
      </c>
      <c r="C1" s="222"/>
      <c r="D1" s="222"/>
      <c r="E1" s="222"/>
      <c r="F1" s="222"/>
      <c r="G1" s="222"/>
    </row>
    <row r="2" spans="2:10" ht="15.45" x14ac:dyDescent="0.4">
      <c r="B2" s="72"/>
      <c r="C2" s="73"/>
      <c r="D2" s="73"/>
      <c r="E2" s="76" t="s">
        <v>80</v>
      </c>
      <c r="F2" s="50">
        <v>42587</v>
      </c>
      <c r="G2" s="72"/>
    </row>
    <row r="3" spans="2:10" ht="15.45" x14ac:dyDescent="0.4">
      <c r="B3" s="91" t="s">
        <v>190</v>
      </c>
      <c r="C3" s="167">
        <v>45</v>
      </c>
      <c r="D3" s="223" t="s">
        <v>72</v>
      </c>
      <c r="E3" s="224"/>
      <c r="F3" s="66"/>
      <c r="G3" s="67"/>
    </row>
    <row r="4" spans="2:10" ht="15.45" x14ac:dyDescent="0.4">
      <c r="B4" s="1"/>
      <c r="F4" s="36"/>
      <c r="G4" s="36"/>
    </row>
    <row r="5" spans="2:10" ht="15.45" x14ac:dyDescent="0.4">
      <c r="B5" s="1" t="s">
        <v>9</v>
      </c>
      <c r="C5" s="229" t="s">
        <v>96</v>
      </c>
      <c r="D5" s="230"/>
      <c r="E5" s="230"/>
      <c r="F5" s="231"/>
      <c r="G5" s="37"/>
      <c r="J5" s="4" t="s">
        <v>159</v>
      </c>
    </row>
    <row r="6" spans="2:10" ht="15.45" x14ac:dyDescent="0.4">
      <c r="B6" s="1"/>
      <c r="C6" s="142" t="s">
        <v>124</v>
      </c>
      <c r="D6" s="142" t="s">
        <v>44</v>
      </c>
      <c r="E6" s="98"/>
      <c r="F6" s="142" t="s">
        <v>123</v>
      </c>
      <c r="G6" s="37"/>
    </row>
    <row r="7" spans="2:10" ht="14.15" x14ac:dyDescent="0.35">
      <c r="B7" s="49" t="s">
        <v>121</v>
      </c>
      <c r="C7" s="141">
        <f>'1. Vac 24'!C7</f>
        <v>42644</v>
      </c>
      <c r="D7" s="136">
        <f>C7+C3</f>
        <v>42689</v>
      </c>
      <c r="E7" s="49" t="s">
        <v>122</v>
      </c>
      <c r="F7" s="145">
        <f>C7</f>
        <v>42644</v>
      </c>
      <c r="G7" s="140"/>
    </row>
    <row r="8" spans="2:10" ht="15.45" x14ac:dyDescent="0.4">
      <c r="B8" s="1"/>
      <c r="D8" s="4"/>
      <c r="G8" s="24"/>
    </row>
    <row r="9" spans="2:10" ht="14.15" x14ac:dyDescent="0.35">
      <c r="B9" s="2" t="s">
        <v>6</v>
      </c>
      <c r="C9" s="92">
        <f>'1. Vac 24'!C9</f>
        <v>550</v>
      </c>
      <c r="D9" s="4"/>
      <c r="E9" s="4" t="s">
        <v>12</v>
      </c>
      <c r="G9" s="83" t="s">
        <v>100</v>
      </c>
    </row>
    <row r="10" spans="2:10" x14ac:dyDescent="0.3">
      <c r="B10" s="2" t="s">
        <v>41</v>
      </c>
      <c r="C10" s="92">
        <f>'1. Vac 24'!C10</f>
        <v>4</v>
      </c>
      <c r="D10" t="s">
        <v>40</v>
      </c>
      <c r="E10" s="2" t="s">
        <v>23</v>
      </c>
      <c r="F10" s="15">
        <v>9</v>
      </c>
      <c r="I10" t="s">
        <v>19</v>
      </c>
    </row>
    <row r="11" spans="2:10" x14ac:dyDescent="0.3">
      <c r="B11" t="s">
        <v>22</v>
      </c>
      <c r="C11" s="92">
        <f>'1. Vac 24'!C11</f>
        <v>528</v>
      </c>
      <c r="E11" s="2" t="s">
        <v>24</v>
      </c>
      <c r="F11" s="15">
        <v>3</v>
      </c>
    </row>
    <row r="12" spans="2:10" x14ac:dyDescent="0.3">
      <c r="B12" s="2" t="s">
        <v>144</v>
      </c>
      <c r="C12" s="92">
        <f>'1. Vac 24'!C12</f>
        <v>550</v>
      </c>
      <c r="E12" s="4" t="s">
        <v>28</v>
      </c>
      <c r="F12" s="17">
        <f>SUM(F10:F11)</f>
        <v>12</v>
      </c>
      <c r="G12" s="11">
        <f>F12/$F$38</f>
        <v>1.3146016847240115E-2</v>
      </c>
    </row>
    <row r="13" spans="2:10" x14ac:dyDescent="0.3">
      <c r="B13" s="2" t="s">
        <v>145</v>
      </c>
      <c r="C13" s="147">
        <f>'1. Vac 24'!C13</f>
        <v>160</v>
      </c>
      <c r="D13" s="2" t="s">
        <v>64</v>
      </c>
      <c r="E13" t="s">
        <v>25</v>
      </c>
      <c r="F13" s="5">
        <v>0.15</v>
      </c>
    </row>
    <row r="14" spans="2:10" x14ac:dyDescent="0.3">
      <c r="B14" s="2" t="s">
        <v>146</v>
      </c>
      <c r="C14" s="95">
        <f>'1. Vac 24'!C14</f>
        <v>9</v>
      </c>
      <c r="D14" s="2"/>
      <c r="E14" s="2" t="s">
        <v>26</v>
      </c>
      <c r="F14" s="18">
        <v>15</v>
      </c>
      <c r="I14" s="220" t="s">
        <v>234</v>
      </c>
    </row>
    <row r="15" spans="2:10" x14ac:dyDescent="0.3">
      <c r="B15" s="2" t="s">
        <v>147</v>
      </c>
      <c r="C15" s="149">
        <f>IF($C$11&gt;=$C$12,((($C$11-$C$12)*0.01*$C$14)*-1),((($C$12-$C$11)*0.01*$C$14)))</f>
        <v>1.98</v>
      </c>
      <c r="D15" s="2"/>
      <c r="E15" s="2" t="s">
        <v>27</v>
      </c>
      <c r="F15" s="99">
        <f>F14*F13</f>
        <v>2.25</v>
      </c>
      <c r="G15" s="11"/>
    </row>
    <row r="16" spans="2:10" x14ac:dyDescent="0.3">
      <c r="B16" s="164" t="s">
        <v>183</v>
      </c>
      <c r="C16" s="149">
        <f>C13+C15</f>
        <v>161.97999999999999</v>
      </c>
      <c r="D16" s="2"/>
      <c r="E16" s="2"/>
      <c r="F16" s="99"/>
      <c r="G16" s="11"/>
    </row>
    <row r="17" spans="2:9" x14ac:dyDescent="0.3">
      <c r="B17" s="2" t="s">
        <v>7</v>
      </c>
      <c r="C17" s="94">
        <f>'1. Vac 24'!C17</f>
        <v>0.04</v>
      </c>
      <c r="D17" s="42">
        <f>C16*C17</f>
        <v>6.4791999999999996</v>
      </c>
      <c r="E17" s="4" t="s">
        <v>45</v>
      </c>
      <c r="F17" s="17">
        <f>F12+F15</f>
        <v>14.25</v>
      </c>
      <c r="G17" s="11">
        <f>F17/$F$38</f>
        <v>1.5610895006097636E-2</v>
      </c>
      <c r="I17" s="32"/>
    </row>
    <row r="18" spans="2:9" x14ac:dyDescent="0.3">
      <c r="B18" s="2" t="s">
        <v>8</v>
      </c>
      <c r="C18" s="95">
        <f>'1. Vac 24'!C18</f>
        <v>6</v>
      </c>
      <c r="D18" s="42">
        <f>((C18/C11*100))</f>
        <v>1.1363636363636365</v>
      </c>
      <c r="E18" s="2" t="s">
        <v>189</v>
      </c>
      <c r="F18" s="74">
        <f>C3</f>
        <v>45</v>
      </c>
    </row>
    <row r="19" spans="2:9" x14ac:dyDescent="0.3">
      <c r="B19" s="2" t="s">
        <v>67</v>
      </c>
      <c r="C19" s="19">
        <f>(C13+C15-D17-D18)</f>
        <v>154.36443636363637</v>
      </c>
      <c r="D19" s="73"/>
      <c r="E19" t="s">
        <v>29</v>
      </c>
      <c r="F19" s="15">
        <v>1</v>
      </c>
    </row>
    <row r="20" spans="2:9" x14ac:dyDescent="0.3">
      <c r="B20" s="4" t="s">
        <v>91</v>
      </c>
      <c r="C20" s="19">
        <f>C19*C11*0.01</f>
        <v>815.0442240000001</v>
      </c>
      <c r="E20" t="s">
        <v>30</v>
      </c>
      <c r="F20" s="17">
        <f>F19*F18</f>
        <v>45</v>
      </c>
      <c r="G20" s="11">
        <f>F20/$F$38</f>
        <v>4.9297563177150429E-2</v>
      </c>
      <c r="I20" s="48"/>
    </row>
    <row r="21" spans="2:9" x14ac:dyDescent="0.3">
      <c r="B21" s="4"/>
      <c r="C21" s="19"/>
      <c r="E21" t="s">
        <v>39</v>
      </c>
      <c r="F21" s="15">
        <v>0</v>
      </c>
      <c r="I21" s="48"/>
    </row>
    <row r="22" spans="2:9" x14ac:dyDescent="0.3">
      <c r="B22" s="75" t="s">
        <v>74</v>
      </c>
      <c r="E22" s="4" t="s">
        <v>81</v>
      </c>
      <c r="F22" s="17">
        <f>F17+F20+F21</f>
        <v>59.25</v>
      </c>
      <c r="G22" s="11">
        <f>F22/$F$38</f>
        <v>6.4908458183248072E-2</v>
      </c>
    </row>
    <row r="23" spans="2:9" x14ac:dyDescent="0.3">
      <c r="B23" s="2" t="s">
        <v>75</v>
      </c>
      <c r="C23" s="13">
        <v>1.7</v>
      </c>
      <c r="I23" s="8"/>
    </row>
    <row r="24" spans="2:9" x14ac:dyDescent="0.3">
      <c r="B24" s="2" t="s">
        <v>76</v>
      </c>
      <c r="C24" s="7">
        <f>C23*F18</f>
        <v>76.5</v>
      </c>
      <c r="E24" s="4" t="s">
        <v>13</v>
      </c>
      <c r="I24" s="2" t="s">
        <v>99</v>
      </c>
    </row>
    <row r="25" spans="2:9" x14ac:dyDescent="0.3">
      <c r="B25" s="2" t="s">
        <v>77</v>
      </c>
      <c r="C25" s="114">
        <f>C24+C9</f>
        <v>626.5</v>
      </c>
      <c r="E25" s="2" t="s">
        <v>31</v>
      </c>
      <c r="F25" s="15">
        <v>0.5</v>
      </c>
      <c r="I25" s="16">
        <f>F22/I36</f>
        <v>1.0245494144073268</v>
      </c>
    </row>
    <row r="26" spans="2:9" x14ac:dyDescent="0.3">
      <c r="B26" s="2" t="s">
        <v>78</v>
      </c>
      <c r="C26" s="14">
        <v>0.02</v>
      </c>
      <c r="D26" s="43" t="s">
        <v>14</v>
      </c>
      <c r="E26" s="2" t="s">
        <v>32</v>
      </c>
      <c r="F26" s="15">
        <v>0.25</v>
      </c>
    </row>
    <row r="27" spans="2:9" x14ac:dyDescent="0.3">
      <c r="B27" s="2" t="s">
        <v>79</v>
      </c>
      <c r="C27" s="40">
        <f>C25*(1-C26)</f>
        <v>613.97</v>
      </c>
      <c r="D27" s="41">
        <f>IF(C23=0,0,((C27-C9)/F18))</f>
        <v>1.4215555555555561</v>
      </c>
      <c r="E27" s="4" t="s">
        <v>82</v>
      </c>
      <c r="F27" s="44">
        <f>F26*F18+F25*F18</f>
        <v>33.75</v>
      </c>
      <c r="G27" s="11">
        <f>F27/$F$38</f>
        <v>3.6973172382862823E-2</v>
      </c>
      <c r="I27" s="2" t="s">
        <v>20</v>
      </c>
    </row>
    <row r="28" spans="2:9" x14ac:dyDescent="0.3">
      <c r="B28" s="2" t="s">
        <v>184</v>
      </c>
      <c r="C28" s="77">
        <f>'2. Vac 34'!C28</f>
        <v>160</v>
      </c>
      <c r="D28" s="43"/>
      <c r="I28" t="s">
        <v>5</v>
      </c>
    </row>
    <row r="29" spans="2:9" x14ac:dyDescent="0.3">
      <c r="B29" s="2" t="s">
        <v>144</v>
      </c>
      <c r="C29" s="176">
        <f>C9</f>
        <v>550</v>
      </c>
      <c r="D29" s="43"/>
    </row>
    <row r="30" spans="2:9" x14ac:dyDescent="0.3">
      <c r="B30" s="2" t="s">
        <v>146</v>
      </c>
      <c r="C30" s="77">
        <f>'4. Weight-Price SlideCalculator'!G22+'4. Weight-Price SlideCalculator'!G24</f>
        <v>5</v>
      </c>
      <c r="D30" s="43"/>
      <c r="I30" s="220" t="s">
        <v>234</v>
      </c>
    </row>
    <row r="31" spans="2:9" x14ac:dyDescent="0.3">
      <c r="B31" s="2" t="s">
        <v>147</v>
      </c>
      <c r="C31" s="149">
        <f>IF($C$27&gt;=$C$29,((($C$27-$C$29)*0.01*$C$30)*-1),((($C$29-$C$27)*0.01*$C$30)))</f>
        <v>-3.1985000000000015</v>
      </c>
      <c r="D31" s="78" t="s">
        <v>89</v>
      </c>
      <c r="E31" s="4" t="s">
        <v>152</v>
      </c>
    </row>
    <row r="32" spans="2:9" x14ac:dyDescent="0.3">
      <c r="B32" s="2" t="s">
        <v>88</v>
      </c>
      <c r="C32" s="18">
        <v>10</v>
      </c>
      <c r="D32" s="78"/>
      <c r="E32" s="2" t="s">
        <v>33</v>
      </c>
      <c r="F32" s="14">
        <v>4.4999999999999998E-2</v>
      </c>
    </row>
    <row r="33" spans="2:10" ht="12.9" thickBot="1" x14ac:dyDescent="0.35">
      <c r="B33" s="4" t="s">
        <v>65</v>
      </c>
      <c r="C33" s="77">
        <f>($C$28+C32+C31)</f>
        <v>166.8015</v>
      </c>
      <c r="D33" s="76" t="s">
        <v>66</v>
      </c>
      <c r="E33" s="4" t="s">
        <v>34</v>
      </c>
      <c r="F33" s="19">
        <f>C43*F32</f>
        <v>4.7798001468493156</v>
      </c>
      <c r="G33" s="11">
        <f>F33/$F$38</f>
        <v>5.2362777714101564E-3</v>
      </c>
    </row>
    <row r="34" spans="2:10" ht="12.9" thickTop="1" x14ac:dyDescent="0.3">
      <c r="B34" s="2" t="s">
        <v>43</v>
      </c>
      <c r="C34" s="46">
        <v>2.5</v>
      </c>
      <c r="D34" s="42">
        <f>(C34*0.01*C33)</f>
        <v>4.1700375000000003</v>
      </c>
      <c r="E34" s="4" t="s">
        <v>83</v>
      </c>
      <c r="F34" s="39">
        <f>F22+F27+F33</f>
        <v>97.779800146849311</v>
      </c>
      <c r="G34" s="11">
        <f>F34/$F$38</f>
        <v>0.10711790833752105</v>
      </c>
      <c r="I34" s="2" t="s">
        <v>3</v>
      </c>
    </row>
    <row r="35" spans="2:10" x14ac:dyDescent="0.3">
      <c r="B35" s="2" t="s">
        <v>192</v>
      </c>
      <c r="C35" s="18">
        <v>2</v>
      </c>
      <c r="D35" s="42">
        <f>(C35/C27)*100</f>
        <v>0.32574881508868508</v>
      </c>
      <c r="I35" s="9">
        <f>G34+G36</f>
        <v>1</v>
      </c>
      <c r="J35" s="2" t="s">
        <v>1</v>
      </c>
    </row>
    <row r="36" spans="2:10" x14ac:dyDescent="0.3">
      <c r="C36" s="54"/>
      <c r="D36" s="32"/>
      <c r="E36" s="4" t="s">
        <v>92</v>
      </c>
      <c r="F36" s="23">
        <f>C20</f>
        <v>815.0442240000001</v>
      </c>
      <c r="G36" s="11">
        <f>F36/$F$38</f>
        <v>0.892882091662479</v>
      </c>
      <c r="H36" s="6"/>
      <c r="I36" s="34">
        <f>(C39-C9)</f>
        <v>57.830299999999966</v>
      </c>
      <c r="J36" s="2" t="s">
        <v>46</v>
      </c>
    </row>
    <row r="37" spans="2:10" x14ac:dyDescent="0.3">
      <c r="B37" s="55" t="s">
        <v>47</v>
      </c>
      <c r="C37" s="56">
        <f>$C$33-$D$34-$D$35</f>
        <v>162.30571368491132</v>
      </c>
      <c r="D37" s="53" t="s">
        <v>48</v>
      </c>
      <c r="E37" s="2"/>
      <c r="F37" s="25" t="s">
        <v>87</v>
      </c>
      <c r="G37" s="17" t="s">
        <v>84</v>
      </c>
      <c r="H37" s="6"/>
      <c r="I37" s="32">
        <f>(F34/I36)</f>
        <v>1.6908056874484374</v>
      </c>
    </row>
    <row r="38" spans="2:10" x14ac:dyDescent="0.3">
      <c r="B38" s="2" t="s">
        <v>97</v>
      </c>
      <c r="C38" s="46">
        <v>1</v>
      </c>
      <c r="D38" s="2" t="s">
        <v>98</v>
      </c>
      <c r="E38" s="4" t="s">
        <v>95</v>
      </c>
      <c r="F38" s="80">
        <f>F34+F36</f>
        <v>912.82402414684941</v>
      </c>
      <c r="G38" s="19">
        <f>((F38/$C$39)*100)</f>
        <v>150.17744659107146</v>
      </c>
      <c r="H38" s="6"/>
    </row>
    <row r="39" spans="2:10" ht="12.9" thickBot="1" x14ac:dyDescent="0.35">
      <c r="B39" s="2" t="s">
        <v>11</v>
      </c>
      <c r="C39" s="40">
        <f>(1-($C$38*0.01))*$C$27</f>
        <v>607.83029999999997</v>
      </c>
      <c r="D39" s="8">
        <f>C39-C9</f>
        <v>57.830299999999966</v>
      </c>
      <c r="E39" s="2" t="s">
        <v>15</v>
      </c>
      <c r="F39" s="27">
        <f>C40</f>
        <v>986.54330640813748</v>
      </c>
      <c r="G39" s="19">
        <f>((F39/$C$39)*100)</f>
        <v>162.30571368491132</v>
      </c>
      <c r="H39" s="6"/>
      <c r="I39" s="2" t="s">
        <v>94</v>
      </c>
    </row>
    <row r="40" spans="2:10" ht="12.9" thickTop="1" x14ac:dyDescent="0.3">
      <c r="B40" s="4" t="s">
        <v>195</v>
      </c>
      <c r="C40" s="45">
        <f>C37*C39*0.01</f>
        <v>986.54330640813748</v>
      </c>
      <c r="D40" s="168">
        <f>((C40/C39)*100)</f>
        <v>162.30571368491132</v>
      </c>
      <c r="E40" s="4" t="s">
        <v>90</v>
      </c>
      <c r="F40" s="17">
        <f>F39-F38</f>
        <v>73.719282261288072</v>
      </c>
      <c r="G40" s="82">
        <f>((F40/$C$39)*100)</f>
        <v>12.128267093839856</v>
      </c>
      <c r="H40" s="6"/>
      <c r="I40" s="2"/>
    </row>
    <row r="41" spans="2:10" x14ac:dyDescent="0.3">
      <c r="H41" s="6"/>
      <c r="I41" s="32"/>
    </row>
    <row r="42" spans="2:10" x14ac:dyDescent="0.3">
      <c r="E42" s="4" t="s">
        <v>2</v>
      </c>
      <c r="F42" s="25" t="s">
        <v>87</v>
      </c>
      <c r="H42" s="6"/>
    </row>
    <row r="43" spans="2:10" x14ac:dyDescent="0.3">
      <c r="B43" s="2" t="s">
        <v>85</v>
      </c>
      <c r="C43" s="22">
        <f>(($C$20+($F$22+$F$27)*0.5))*$F$18/365</f>
        <v>106.2177810410959</v>
      </c>
      <c r="D43" s="4"/>
      <c r="E43" s="2" t="s">
        <v>35</v>
      </c>
      <c r="F43" s="28">
        <f>F39-F36</f>
        <v>171.49908240813738</v>
      </c>
      <c r="G43" s="16"/>
    </row>
    <row r="44" spans="2:10" ht="12.9" thickBot="1" x14ac:dyDescent="0.35">
      <c r="B44" s="2" t="s">
        <v>63</v>
      </c>
      <c r="C44" s="16">
        <f>F46+F33</f>
        <v>78.499082408137383</v>
      </c>
      <c r="D44" s="17"/>
      <c r="E44" s="2" t="s">
        <v>36</v>
      </c>
      <c r="F44" s="29">
        <f>F34</f>
        <v>97.779800146849311</v>
      </c>
      <c r="G44" s="16"/>
    </row>
    <row r="45" spans="2:10" ht="12.9" thickTop="1" x14ac:dyDescent="0.3">
      <c r="E45" s="2"/>
      <c r="F45" s="28"/>
      <c r="G45" s="17" t="s">
        <v>155</v>
      </c>
    </row>
    <row r="46" spans="2:10" x14ac:dyDescent="0.3">
      <c r="B46" s="55" t="s">
        <v>37</v>
      </c>
      <c r="C46" s="169">
        <f>((F40+F33)/C43)</f>
        <v>0.73903899741386903</v>
      </c>
      <c r="D46" s="17"/>
      <c r="E46" s="55" t="s">
        <v>71</v>
      </c>
      <c r="F46" s="62">
        <f>F39-F38</f>
        <v>73.719282261288072</v>
      </c>
      <c r="G46" s="62">
        <f>((F46/C39)*100)</f>
        <v>12.128267093839856</v>
      </c>
    </row>
    <row r="47" spans="2:10" x14ac:dyDescent="0.3">
      <c r="B47" s="4"/>
      <c r="C47" s="10"/>
      <c r="D47" s="17"/>
      <c r="E47" s="4"/>
      <c r="F47" s="17"/>
      <c r="G47" s="38"/>
    </row>
    <row r="48" spans="2:10" x14ac:dyDescent="0.3">
      <c r="B48" s="35" t="s">
        <v>69</v>
      </c>
      <c r="C48" s="51">
        <f>IF($D$27&lt;=0,("Zero Gain"),((C40-C20)/I36))</f>
        <v>2.9655575435046591</v>
      </c>
      <c r="D48" s="17"/>
      <c r="E48" s="35" t="s">
        <v>70</v>
      </c>
      <c r="F48" s="51">
        <f>IF($D$27&lt;=0,("Zero Gain"),(I37))</f>
        <v>1.6908056874484374</v>
      </c>
      <c r="G48" s="38"/>
    </row>
    <row r="49" spans="2:10" x14ac:dyDescent="0.3">
      <c r="B49" s="4" t="s">
        <v>21</v>
      </c>
      <c r="C49" s="11"/>
      <c r="D49" s="4"/>
      <c r="E49" s="4"/>
      <c r="F49" s="26"/>
      <c r="G49" s="21"/>
    </row>
    <row r="50" spans="2:10" ht="14.15" x14ac:dyDescent="0.35">
      <c r="B50" s="4"/>
      <c r="C50" s="225" t="s">
        <v>86</v>
      </c>
      <c r="D50" s="226"/>
      <c r="E50" s="2"/>
      <c r="F50" s="227" t="s">
        <v>57</v>
      </c>
      <c r="G50" s="228"/>
    </row>
    <row r="51" spans="2:10" x14ac:dyDescent="0.3">
      <c r="B51" s="4" t="s">
        <v>38</v>
      </c>
      <c r="C51" s="57" t="s">
        <v>4</v>
      </c>
      <c r="D51" s="57" t="s">
        <v>66</v>
      </c>
      <c r="E51" s="2" t="s">
        <v>58</v>
      </c>
      <c r="F51" s="32">
        <f>C32</f>
        <v>10</v>
      </c>
      <c r="G51" s="35" t="s">
        <v>157</v>
      </c>
      <c r="H51" s="26"/>
    </row>
    <row r="52" spans="2:10" x14ac:dyDescent="0.3">
      <c r="B52" s="4" t="s">
        <v>60</v>
      </c>
      <c r="C52" s="52">
        <v>25</v>
      </c>
      <c r="D52" s="33">
        <f>D61</f>
        <v>154.29043668057506</v>
      </c>
      <c r="E52" s="2" t="s">
        <v>61</v>
      </c>
      <c r="F52" s="19">
        <f>D60</f>
        <v>-8.0152770043362551</v>
      </c>
      <c r="G52" s="60">
        <f>((C52+F33)/C43)</f>
        <v>0.28036548923317689</v>
      </c>
      <c r="H52" s="26"/>
      <c r="I52" s="16"/>
    </row>
    <row r="53" spans="2:10" ht="12.9" thickBot="1" x14ac:dyDescent="0.35">
      <c r="B53" s="4"/>
      <c r="C53" s="52"/>
      <c r="D53" s="59"/>
      <c r="E53" s="61" t="s">
        <v>62</v>
      </c>
      <c r="F53" s="56">
        <f>F51+F52</f>
        <v>1.9847229956637449</v>
      </c>
      <c r="G53" s="21"/>
      <c r="I53" s="32"/>
      <c r="J53" s="2" t="s">
        <v>50</v>
      </c>
    </row>
    <row r="54" spans="2:10" ht="12.9" thickTop="1" x14ac:dyDescent="0.3">
      <c r="B54" s="68"/>
      <c r="C54" s="69"/>
      <c r="D54" s="70"/>
      <c r="E54" s="69"/>
      <c r="F54" s="71"/>
      <c r="G54" s="69"/>
    </row>
    <row r="55" spans="2:10" x14ac:dyDescent="0.3">
      <c r="B55" s="2" t="s">
        <v>68</v>
      </c>
      <c r="D55" s="12"/>
    </row>
    <row r="56" spans="2:10" ht="12.9" thickBot="1" x14ac:dyDescent="0.35">
      <c r="B56" s="4" t="s">
        <v>10</v>
      </c>
      <c r="C56" s="30">
        <f>G34</f>
        <v>0.10711790833752105</v>
      </c>
      <c r="D56" s="2" t="s">
        <v>0</v>
      </c>
    </row>
    <row r="57" spans="2:10" ht="12.9" thickTop="1" x14ac:dyDescent="0.3">
      <c r="B57" s="68"/>
      <c r="C57" s="69"/>
      <c r="D57" s="70"/>
      <c r="E57" s="69"/>
      <c r="F57" s="71"/>
      <c r="G57" s="69"/>
    </row>
    <row r="58" spans="2:10" x14ac:dyDescent="0.3">
      <c r="C58" s="4" t="s">
        <v>51</v>
      </c>
    </row>
    <row r="59" spans="2:10" x14ac:dyDescent="0.3">
      <c r="C59" s="2" t="s">
        <v>52</v>
      </c>
      <c r="D59" s="2" t="s">
        <v>53</v>
      </c>
    </row>
    <row r="60" spans="2:10" x14ac:dyDescent="0.3">
      <c r="C60" s="56">
        <f>$C$33-$D$34-$D$35</f>
        <v>162.30571368491132</v>
      </c>
      <c r="D60" s="152">
        <f>((C52-F46)/C39)*100</f>
        <v>-8.0152770043362551</v>
      </c>
      <c r="E60" s="2" t="s">
        <v>54</v>
      </c>
    </row>
    <row r="61" spans="2:10" x14ac:dyDescent="0.3">
      <c r="B61" s="4"/>
      <c r="C61" s="2" t="s">
        <v>66</v>
      </c>
      <c r="D61" s="64">
        <f>C60+D60</f>
        <v>154.29043668057506</v>
      </c>
    </row>
    <row r="62" spans="2:10" x14ac:dyDescent="0.3">
      <c r="C62" s="2" t="s">
        <v>133</v>
      </c>
      <c r="D62" s="8">
        <f>$C$39</f>
        <v>607.83029999999997</v>
      </c>
      <c r="E62" s="2" t="s">
        <v>55</v>
      </c>
    </row>
    <row r="63" spans="2:10" x14ac:dyDescent="0.3">
      <c r="C63" s="58" t="s">
        <v>49</v>
      </c>
      <c r="D63" s="19">
        <f>D61*C39*0.01</f>
        <v>937.82402414684941</v>
      </c>
    </row>
    <row r="64" spans="2:10" x14ac:dyDescent="0.3">
      <c r="C64" s="2" t="s">
        <v>90</v>
      </c>
      <c r="D64" s="31">
        <f>D63-F38</f>
        <v>25</v>
      </c>
      <c r="E64" s="2" t="s">
        <v>56</v>
      </c>
    </row>
    <row r="66" spans="2:3" x14ac:dyDescent="0.3">
      <c r="B66" s="2" t="s">
        <v>139</v>
      </c>
    </row>
    <row r="67" spans="2:3" x14ac:dyDescent="0.3">
      <c r="C67" s="2"/>
    </row>
  </sheetData>
  <sheetProtection sheet="1" objects="1" scenarios="1"/>
  <mergeCells count="5">
    <mergeCell ref="B1:G1"/>
    <mergeCell ref="C50:D50"/>
    <mergeCell ref="F50:G50"/>
    <mergeCell ref="D3:E3"/>
    <mergeCell ref="C5:F5"/>
  </mergeCells>
  <pageMargins left="0.95" right="0.7" top="0.75" bottom="0.75" header="0.3" footer="0.3"/>
  <pageSetup scale="89" orientation="portrait"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tabSelected="1" workbookViewId="0">
      <selection activeCell="F5" sqref="F5"/>
    </sheetView>
  </sheetViews>
  <sheetFormatPr defaultRowHeight="12.45" x14ac:dyDescent="0.3"/>
  <cols>
    <col min="1" max="1" width="3.3828125" customWidth="1"/>
    <col min="2" max="2" width="34.23046875" customWidth="1"/>
    <col min="5" max="5" width="13.4609375" customWidth="1"/>
    <col min="6" max="6" width="11.61328125" customWidth="1"/>
    <col min="7" max="7" width="13.3828125" customWidth="1"/>
  </cols>
  <sheetData>
    <row r="2" spans="2:16" ht="17.600000000000001" x14ac:dyDescent="0.4">
      <c r="B2" s="232" t="s">
        <v>198</v>
      </c>
      <c r="C2" s="233"/>
      <c r="D2" s="233"/>
      <c r="E2" s="233"/>
      <c r="F2" s="233"/>
      <c r="G2" s="233"/>
      <c r="H2" s="175"/>
      <c r="I2" s="175"/>
      <c r="J2" s="175"/>
      <c r="K2" s="175"/>
      <c r="L2" s="175"/>
      <c r="M2" s="175"/>
      <c r="N2" s="175"/>
      <c r="O2" s="175"/>
      <c r="P2" s="177"/>
    </row>
    <row r="3" spans="2:16" ht="22.75" x14ac:dyDescent="0.55000000000000004">
      <c r="G3" s="178"/>
      <c r="H3" s="178"/>
      <c r="I3" s="178"/>
      <c r="J3" s="178"/>
      <c r="K3" s="178"/>
      <c r="L3" s="178"/>
      <c r="M3" s="178"/>
      <c r="N3" s="178"/>
      <c r="O3" s="178"/>
      <c r="P3" s="178"/>
    </row>
    <row r="4" spans="2:16" ht="15.45" x14ac:dyDescent="0.4">
      <c r="B4" s="1" t="s">
        <v>199</v>
      </c>
      <c r="I4" s="179" t="s">
        <v>200</v>
      </c>
      <c r="L4" s="2" t="s">
        <v>201</v>
      </c>
      <c r="M4" s="2" t="s">
        <v>74</v>
      </c>
    </row>
    <row r="5" spans="2:16" ht="15" x14ac:dyDescent="0.35">
      <c r="B5" s="180" t="s">
        <v>202</v>
      </c>
      <c r="C5" s="234" t="s">
        <v>203</v>
      </c>
      <c r="D5" s="235"/>
      <c r="E5" s="236"/>
      <c r="F5" s="181">
        <v>42587</v>
      </c>
      <c r="G5" s="179"/>
      <c r="H5" s="179" t="s">
        <v>204</v>
      </c>
      <c r="I5" s="179" t="s">
        <v>205</v>
      </c>
      <c r="K5" s="179" t="s">
        <v>204</v>
      </c>
      <c r="L5" s="182" t="s">
        <v>206</v>
      </c>
      <c r="M5" s="182" t="s">
        <v>206</v>
      </c>
    </row>
    <row r="6" spans="2:16" ht="15" x14ac:dyDescent="0.35">
      <c r="B6" s="180" t="s">
        <v>207</v>
      </c>
      <c r="C6" s="179"/>
      <c r="D6" s="179" t="s">
        <v>208</v>
      </c>
      <c r="E6" s="179" t="s">
        <v>209</v>
      </c>
      <c r="F6" s="179" t="s">
        <v>209</v>
      </c>
      <c r="G6" s="179" t="s">
        <v>208</v>
      </c>
      <c r="H6" s="179" t="s">
        <v>209</v>
      </c>
      <c r="I6" s="179" t="s">
        <v>210</v>
      </c>
      <c r="K6" s="179" t="s">
        <v>211</v>
      </c>
      <c r="L6" s="183" t="s">
        <v>212</v>
      </c>
      <c r="M6" s="183" t="s">
        <v>212</v>
      </c>
    </row>
    <row r="7" spans="2:16" ht="15" x14ac:dyDescent="0.35">
      <c r="B7" s="182">
        <v>400</v>
      </c>
      <c r="C7" s="182">
        <v>500</v>
      </c>
      <c r="D7" s="182">
        <f t="shared" ref="D7:D10" si="0">(B7+C7)/2</f>
        <v>450</v>
      </c>
      <c r="E7" s="184">
        <v>158</v>
      </c>
      <c r="F7" s="185">
        <v>172</v>
      </c>
      <c r="G7" s="186">
        <f t="shared" ref="G7:G10" si="1">(E7+F7)*0.5</f>
        <v>165</v>
      </c>
      <c r="H7" s="182"/>
      <c r="I7" s="186">
        <f t="shared" ref="I7:I10" si="2">F7-E7</f>
        <v>14</v>
      </c>
      <c r="K7" s="186"/>
    </row>
    <row r="8" spans="2:16" ht="15" x14ac:dyDescent="0.35">
      <c r="B8" s="182">
        <v>500</v>
      </c>
      <c r="C8" s="182">
        <v>600</v>
      </c>
      <c r="D8" s="182">
        <f t="shared" si="0"/>
        <v>550</v>
      </c>
      <c r="E8" s="184">
        <v>150</v>
      </c>
      <c r="F8" s="185">
        <v>162</v>
      </c>
      <c r="G8" s="186">
        <f t="shared" si="1"/>
        <v>156</v>
      </c>
      <c r="H8" s="186">
        <f>K8*100</f>
        <v>9</v>
      </c>
      <c r="I8" s="186">
        <f t="shared" si="2"/>
        <v>12</v>
      </c>
      <c r="K8" s="186">
        <f>(G7-G8)/100</f>
        <v>0.09</v>
      </c>
      <c r="L8" s="187">
        <f>IF($E$16&lt;=550,$H$8,0)</f>
        <v>9</v>
      </c>
      <c r="M8" s="187">
        <f>IF($G$16&lt;=550,$H$8,0)</f>
        <v>0</v>
      </c>
    </row>
    <row r="9" spans="2:16" ht="15" x14ac:dyDescent="0.35">
      <c r="B9" s="182">
        <v>600</v>
      </c>
      <c r="C9" s="182">
        <v>700</v>
      </c>
      <c r="D9" s="182">
        <f t="shared" si="0"/>
        <v>650</v>
      </c>
      <c r="E9" s="184">
        <v>145</v>
      </c>
      <c r="F9" s="184">
        <v>157</v>
      </c>
      <c r="G9" s="186">
        <f t="shared" si="1"/>
        <v>151</v>
      </c>
      <c r="H9" s="186">
        <f>K9*100</f>
        <v>5</v>
      </c>
      <c r="I9" s="186">
        <f t="shared" si="2"/>
        <v>12</v>
      </c>
      <c r="K9" s="186">
        <f>(G8-G9)/100</f>
        <v>0.05</v>
      </c>
      <c r="L9" s="187">
        <f>IF(AND($E$16&gt;=551,$E$16&lt;=650),$H$9,0)</f>
        <v>0</v>
      </c>
      <c r="M9" s="187">
        <f>IF(AND($G$16&gt;=551,$G$16&lt;=650),$H$9,0)</f>
        <v>5</v>
      </c>
    </row>
    <row r="10" spans="2:16" ht="15" x14ac:dyDescent="0.35">
      <c r="B10" s="182">
        <v>700</v>
      </c>
      <c r="C10" s="182">
        <v>800</v>
      </c>
      <c r="D10" s="182">
        <f t="shared" si="0"/>
        <v>750</v>
      </c>
      <c r="E10" s="188">
        <v>143</v>
      </c>
      <c r="F10" s="189">
        <v>153</v>
      </c>
      <c r="G10" s="186">
        <f t="shared" si="1"/>
        <v>148</v>
      </c>
      <c r="H10" s="186">
        <f>K10*100</f>
        <v>3</v>
      </c>
      <c r="I10" s="186">
        <f t="shared" si="2"/>
        <v>10</v>
      </c>
      <c r="K10" s="186">
        <f>(G9-G10)/100</f>
        <v>0.03</v>
      </c>
      <c r="L10" s="187">
        <f>IF(AND($E$16&gt;=651,$E$16&lt;=700),$H$10,0)</f>
        <v>0</v>
      </c>
      <c r="M10" s="187">
        <f>IF(AND($G$16&gt;=651,$G$16&lt;=700),$H$10,0)</f>
        <v>0</v>
      </c>
      <c r="N10" s="182"/>
    </row>
    <row r="11" spans="2:16" ht="15" x14ac:dyDescent="0.35">
      <c r="B11" s="182"/>
      <c r="C11" s="182"/>
      <c r="D11" s="182"/>
      <c r="E11" s="188"/>
      <c r="F11" s="189"/>
      <c r="G11" s="186"/>
      <c r="H11" s="186"/>
      <c r="I11" s="186"/>
      <c r="K11" s="186"/>
      <c r="L11" s="187"/>
      <c r="M11" s="187"/>
      <c r="N11" s="182"/>
    </row>
    <row r="12" spans="2:16" ht="15" x14ac:dyDescent="0.35">
      <c r="B12" s="182"/>
      <c r="C12" s="190"/>
      <c r="D12" s="182"/>
      <c r="E12" s="188"/>
      <c r="F12" s="188"/>
      <c r="G12" s="217">
        <f>'3. Vac 45'!C3</f>
        <v>45</v>
      </c>
      <c r="H12" s="186" t="s">
        <v>232</v>
      </c>
      <c r="I12" s="186"/>
      <c r="K12" s="186"/>
      <c r="L12" s="187"/>
      <c r="M12" s="187"/>
      <c r="N12" s="182"/>
    </row>
    <row r="13" spans="2:16" ht="15.45" x14ac:dyDescent="0.4">
      <c r="B13" s="182" t="s">
        <v>213</v>
      </c>
      <c r="C13" s="182"/>
      <c r="D13" s="182"/>
      <c r="E13" s="191" t="s">
        <v>201</v>
      </c>
      <c r="F13" s="188"/>
      <c r="G13" s="219" t="s">
        <v>74</v>
      </c>
      <c r="H13" s="186"/>
      <c r="I13" s="126" t="s">
        <v>214</v>
      </c>
      <c r="J13" s="186"/>
      <c r="L13" s="192">
        <f>SUM(L8:L10)</f>
        <v>9</v>
      </c>
      <c r="M13" s="192">
        <f>SUM(M8:M10)</f>
        <v>5</v>
      </c>
      <c r="N13" s="182"/>
    </row>
    <row r="14" spans="2:16" ht="15.45" x14ac:dyDescent="0.4">
      <c r="B14" s="182" t="s">
        <v>215</v>
      </c>
      <c r="C14" s="182"/>
      <c r="D14" s="179" t="s">
        <v>216</v>
      </c>
      <c r="E14" s="199">
        <f>'1. Vac 24'!C12</f>
        <v>550</v>
      </c>
      <c r="F14" s="2"/>
      <c r="G14" s="199">
        <f>'3. Vac 45'!C25</f>
        <v>626.5</v>
      </c>
      <c r="I14" s="193">
        <f>G14-E14</f>
        <v>76.5</v>
      </c>
      <c r="J14" s="186"/>
      <c r="L14" s="192"/>
      <c r="M14" s="192"/>
      <c r="N14" s="182"/>
    </row>
    <row r="15" spans="2:16" ht="15.45" x14ac:dyDescent="0.4">
      <c r="B15" s="182" t="s">
        <v>217</v>
      </c>
      <c r="D15" s="179" t="s">
        <v>40</v>
      </c>
      <c r="E15" s="218">
        <f>'3. Vac 45'!C10*0.01</f>
        <v>0.04</v>
      </c>
      <c r="F15" s="2"/>
      <c r="G15" s="218">
        <f>'3. Vac 45'!C26</f>
        <v>0.02</v>
      </c>
      <c r="M15" s="174"/>
      <c r="N15" s="174"/>
    </row>
    <row r="16" spans="2:16" ht="15.45" x14ac:dyDescent="0.4">
      <c r="B16" s="1" t="s">
        <v>218</v>
      </c>
      <c r="C16" s="4"/>
      <c r="D16" s="174" t="s">
        <v>216</v>
      </c>
      <c r="E16" s="194">
        <f>'1. Vac 24'!C11</f>
        <v>528</v>
      </c>
      <c r="F16" s="4"/>
      <c r="G16" s="194">
        <f>'3. Vac 45'!C27</f>
        <v>613.97</v>
      </c>
      <c r="H16" s="1"/>
      <c r="I16" s="193">
        <f>G16-E16</f>
        <v>85.970000000000027</v>
      </c>
      <c r="J16" s="195"/>
      <c r="K16" s="159"/>
      <c r="L16" s="1"/>
    </row>
    <row r="17" spans="2:13" ht="15.45" x14ac:dyDescent="0.4">
      <c r="B17" s="182" t="s">
        <v>219</v>
      </c>
      <c r="D17" s="182"/>
      <c r="E17" s="182"/>
      <c r="G17" s="182"/>
      <c r="H17" s="1"/>
      <c r="I17" s="1"/>
      <c r="J17" s="1"/>
      <c r="K17" s="1"/>
    </row>
    <row r="18" spans="2:13" ht="22.75" x14ac:dyDescent="0.55000000000000004">
      <c r="B18" s="182" t="s">
        <v>220</v>
      </c>
      <c r="D18" s="179" t="s">
        <v>66</v>
      </c>
      <c r="E18" s="196">
        <f>'1. Vac 24'!C13</f>
        <v>160</v>
      </c>
      <c r="F18" s="178"/>
      <c r="G18" s="197">
        <f>E18</f>
        <v>160</v>
      </c>
      <c r="H18" s="1"/>
      <c r="I18" t="s">
        <v>221</v>
      </c>
      <c r="L18" t="s">
        <v>74</v>
      </c>
    </row>
    <row r="19" spans="2:13" ht="15.45" x14ac:dyDescent="0.4">
      <c r="B19" s="182" t="s">
        <v>222</v>
      </c>
      <c r="D19" s="179" t="s">
        <v>216</v>
      </c>
      <c r="E19" s="198">
        <f>'3. Vac 45'!C12</f>
        <v>550</v>
      </c>
      <c r="G19" s="199">
        <f>E19</f>
        <v>550</v>
      </c>
      <c r="H19" s="1"/>
      <c r="I19" s="200" t="s">
        <v>223</v>
      </c>
      <c r="L19" s="200" t="s">
        <v>223</v>
      </c>
    </row>
    <row r="20" spans="2:13" ht="15" x14ac:dyDescent="0.35">
      <c r="B20" s="182" t="s">
        <v>224</v>
      </c>
      <c r="D20" s="179" t="s">
        <v>216</v>
      </c>
      <c r="E20" s="201">
        <v>0</v>
      </c>
      <c r="G20" s="202">
        <f>E20</f>
        <v>0</v>
      </c>
      <c r="H20" s="203"/>
      <c r="I20" s="204">
        <f>IF(($E$16&gt;($E$19+$E$20)),(-$E$22*0.01*($E$16-$E$19)),0)</f>
        <v>0</v>
      </c>
      <c r="J20" t="s">
        <v>225</v>
      </c>
      <c r="L20" s="204">
        <f>IF(($G$16&gt;($G$19+$G$20)),(-$G$22*0.01*($G$16-$G$19)),0)</f>
        <v>-3.1985000000000015</v>
      </c>
      <c r="M20" t="s">
        <v>225</v>
      </c>
    </row>
    <row r="21" spans="2:13" ht="15" x14ac:dyDescent="0.35">
      <c r="B21" s="182" t="s">
        <v>226</v>
      </c>
      <c r="D21" s="179" t="s">
        <v>216</v>
      </c>
      <c r="E21" s="205">
        <v>0</v>
      </c>
      <c r="F21" s="206"/>
      <c r="G21" s="207">
        <f>E21</f>
        <v>0</v>
      </c>
      <c r="H21" s="203"/>
      <c r="I21" s="203">
        <f>IF(($E$16&lt;$E$19-$E$21),($E$24*0.01*($E$19-$E$16)),0)</f>
        <v>1.98</v>
      </c>
      <c r="J21" s="208" t="s">
        <v>227</v>
      </c>
      <c r="L21" s="203">
        <f>IF(($G$16&lt;$G$19-$G$21),($G$24*0.01*($G$19-$G$16)),0)</f>
        <v>0</v>
      </c>
      <c r="M21" s="208" t="s">
        <v>227</v>
      </c>
    </row>
    <row r="22" spans="2:13" ht="15.45" x14ac:dyDescent="0.4">
      <c r="B22" s="209" t="s">
        <v>228</v>
      </c>
      <c r="C22" s="210"/>
      <c r="D22" s="179" t="s">
        <v>66</v>
      </c>
      <c r="E22" s="211">
        <f>IF(E16&gt;=E19,L13,0)</f>
        <v>0</v>
      </c>
      <c r="F22" s="212"/>
      <c r="G22" s="196">
        <f>IF(G16&gt;=G19,M13,0)</f>
        <v>5</v>
      </c>
      <c r="H22" s="1"/>
      <c r="I22" s="203"/>
      <c r="J22" s="208"/>
    </row>
    <row r="23" spans="2:13" ht="15.45" x14ac:dyDescent="0.4">
      <c r="D23" s="179"/>
      <c r="E23" s="196"/>
      <c r="F23" s="212"/>
      <c r="G23" s="196"/>
      <c r="H23" s="1"/>
      <c r="I23" s="203"/>
      <c r="J23" s="208"/>
    </row>
    <row r="24" spans="2:13" ht="15.45" x14ac:dyDescent="0.4">
      <c r="B24" s="209" t="s">
        <v>229</v>
      </c>
      <c r="C24" s="210"/>
      <c r="D24" s="179" t="s">
        <v>66</v>
      </c>
      <c r="E24" s="196">
        <f>IF(E16&lt;=E19,L13,0)</f>
        <v>9</v>
      </c>
      <c r="F24" s="212"/>
      <c r="G24" s="196">
        <f>IF(G16&lt;=G19,M13,0)</f>
        <v>0</v>
      </c>
      <c r="H24" s="1"/>
      <c r="I24" s="204">
        <f>(I20+I21)</f>
        <v>1.98</v>
      </c>
      <c r="J24" t="s">
        <v>230</v>
      </c>
      <c r="L24" s="204">
        <f>(L20+L21)</f>
        <v>-3.1985000000000015</v>
      </c>
      <c r="M24" t="s">
        <v>230</v>
      </c>
    </row>
    <row r="25" spans="2:13" ht="15.45" x14ac:dyDescent="0.4">
      <c r="B25" s="182"/>
      <c r="D25" s="179"/>
      <c r="E25" s="196"/>
      <c r="F25" s="212"/>
      <c r="G25" s="196"/>
      <c r="H25" s="1"/>
      <c r="I25" s="204"/>
      <c r="L25" s="204"/>
    </row>
    <row r="26" spans="2:13" ht="15.45" x14ac:dyDescent="0.4">
      <c r="B26" s="1" t="s">
        <v>231</v>
      </c>
      <c r="D26" s="213" t="s">
        <v>66</v>
      </c>
      <c r="E26" s="214">
        <f>I24</f>
        <v>1.98</v>
      </c>
      <c r="F26" s="215"/>
      <c r="G26" s="214">
        <f>L24</f>
        <v>-3.1985000000000015</v>
      </c>
      <c r="H26" s="182"/>
    </row>
    <row r="27" spans="2:13" ht="15.45" x14ac:dyDescent="0.4">
      <c r="B27" s="1"/>
      <c r="D27" s="213"/>
      <c r="E27" s="216"/>
      <c r="F27" s="215"/>
      <c r="G27" s="214"/>
      <c r="H27" s="182"/>
      <c r="I27" s="215"/>
    </row>
  </sheetData>
  <sheetProtection sheet="1" objects="1" scenarios="1"/>
  <mergeCells count="2">
    <mergeCell ref="B2:G2"/>
    <mergeCell ref="C5:E5"/>
  </mergeCells>
  <pageMargins left="0.95" right="0.45" top="0.75" bottom="0.75" header="0.3" footer="0.3"/>
  <pageSetup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3"/>
  <sheetViews>
    <sheetView topLeftCell="A13" workbookViewId="0">
      <selection activeCell="B69" sqref="B69"/>
    </sheetView>
  </sheetViews>
  <sheetFormatPr defaultRowHeight="12.45" x14ac:dyDescent="0.3"/>
  <cols>
    <col min="1" max="1" width="3.84375" customWidth="1"/>
    <col min="2" max="2" width="32.921875" customWidth="1"/>
    <col min="3" max="3" width="11.61328125" customWidth="1"/>
    <col min="4" max="4" width="8.4609375" customWidth="1"/>
    <col min="5" max="5" width="1" customWidth="1"/>
    <col min="6" max="6" width="11.921875" customWidth="1"/>
    <col min="7" max="7" width="0.921875" customWidth="1"/>
    <col min="8" max="8" width="7.765625" customWidth="1"/>
    <col min="9" max="9" width="1.3828125" customWidth="1"/>
    <col min="10" max="10" width="11.61328125" customWidth="1"/>
    <col min="11" max="11" width="10.69140625" customWidth="1"/>
    <col min="12" max="12" width="11.61328125" customWidth="1"/>
  </cols>
  <sheetData>
    <row r="1" spans="2:14" ht="15.45" x14ac:dyDescent="0.4">
      <c r="B1" s="221" t="s">
        <v>120</v>
      </c>
      <c r="C1" s="222"/>
      <c r="D1" s="222"/>
      <c r="E1" s="222"/>
      <c r="F1" s="222"/>
      <c r="G1" s="222"/>
      <c r="H1" s="222"/>
      <c r="I1" s="222"/>
      <c r="J1" s="222"/>
      <c r="K1" s="85"/>
      <c r="L1" s="85"/>
    </row>
    <row r="2" spans="2:14" ht="14.15" x14ac:dyDescent="0.35">
      <c r="B2" s="49" t="s">
        <v>129</v>
      </c>
      <c r="C2" s="141">
        <f>'1. Vac 24'!C7</f>
        <v>42644</v>
      </c>
      <c r="J2" s="96"/>
      <c r="K2" s="96"/>
      <c r="L2" s="96"/>
    </row>
    <row r="3" spans="2:14" ht="15.45" x14ac:dyDescent="0.4">
      <c r="B3" s="1" t="s">
        <v>128</v>
      </c>
      <c r="F3" s="4"/>
      <c r="G3" s="4"/>
      <c r="H3" s="4"/>
      <c r="I3" s="4"/>
      <c r="J3" s="4"/>
      <c r="K3" s="4"/>
      <c r="L3" s="4"/>
      <c r="N3" s="4" t="s">
        <v>191</v>
      </c>
    </row>
    <row r="4" spans="2:14" x14ac:dyDescent="0.3">
      <c r="B4" s="2" t="s">
        <v>6</v>
      </c>
      <c r="C4" s="148">
        <f>'1. Vac 24'!C9</f>
        <v>550</v>
      </c>
      <c r="D4" s="92"/>
      <c r="E4" s="92"/>
      <c r="F4" s="4"/>
      <c r="G4" s="4"/>
      <c r="H4" s="4"/>
      <c r="I4" s="4"/>
      <c r="J4" s="4"/>
      <c r="K4" s="4"/>
    </row>
    <row r="5" spans="2:14" x14ac:dyDescent="0.3">
      <c r="B5" s="2" t="s">
        <v>41</v>
      </c>
      <c r="C5" s="148">
        <f>'1. Vac 24'!C10</f>
        <v>4</v>
      </c>
      <c r="D5" t="s">
        <v>40</v>
      </c>
    </row>
    <row r="6" spans="2:14" x14ac:dyDescent="0.3">
      <c r="B6" t="s">
        <v>22</v>
      </c>
      <c r="C6" s="148">
        <f>'1. Vac 24'!C11</f>
        <v>528</v>
      </c>
      <c r="L6" s="2" t="s">
        <v>142</v>
      </c>
    </row>
    <row r="7" spans="2:14" x14ac:dyDescent="0.3">
      <c r="B7" s="2" t="s">
        <v>144</v>
      </c>
      <c r="C7" s="148">
        <f>'1. Vac 24'!C12</f>
        <v>550</v>
      </c>
      <c r="L7" s="2"/>
    </row>
    <row r="8" spans="2:14" x14ac:dyDescent="0.3">
      <c r="B8" s="2" t="s">
        <v>145</v>
      </c>
      <c r="C8" s="133">
        <f>'1. Vac 24'!C13</f>
        <v>160</v>
      </c>
      <c r="L8" s="2"/>
    </row>
    <row r="9" spans="2:14" x14ac:dyDescent="0.3">
      <c r="B9" s="2" t="s">
        <v>149</v>
      </c>
      <c r="C9" s="133">
        <f>'1. Vac 24'!C14</f>
        <v>9</v>
      </c>
      <c r="L9" s="2"/>
    </row>
    <row r="10" spans="2:14" x14ac:dyDescent="0.3">
      <c r="B10" s="2" t="s">
        <v>150</v>
      </c>
      <c r="C10" s="154">
        <f>'1. Vac 24'!C15</f>
        <v>1.98</v>
      </c>
      <c r="D10" s="2" t="s">
        <v>151</v>
      </c>
      <c r="L10" s="2"/>
    </row>
    <row r="11" spans="2:14" x14ac:dyDescent="0.3">
      <c r="B11" s="2" t="s">
        <v>7</v>
      </c>
      <c r="C11" s="115">
        <f>'1. Vac 24'!C17</f>
        <v>0.04</v>
      </c>
      <c r="D11" s="42">
        <f>'1. Vac 24'!D17</f>
        <v>6.4791999999999996</v>
      </c>
      <c r="E11" s="2"/>
      <c r="J11" s="2"/>
      <c r="K11" s="2"/>
      <c r="L11" s="2"/>
    </row>
    <row r="12" spans="2:14" x14ac:dyDescent="0.3">
      <c r="B12" s="2" t="s">
        <v>8</v>
      </c>
      <c r="C12" s="133">
        <f>'1. Vac 24'!C18</f>
        <v>6</v>
      </c>
      <c r="D12" s="42">
        <f>((C12/C6*100))</f>
        <v>1.1363636363636365</v>
      </c>
      <c r="E12" s="42"/>
      <c r="J12" s="42"/>
      <c r="K12" s="42"/>
      <c r="L12" s="42"/>
      <c r="M12" s="32"/>
    </row>
    <row r="13" spans="2:14" x14ac:dyDescent="0.3">
      <c r="B13" s="2" t="s">
        <v>67</v>
      </c>
      <c r="C13" s="19">
        <f>(C8+C10-D11-D12)</f>
        <v>154.36443636363637</v>
      </c>
      <c r="D13" s="85"/>
      <c r="E13" s="85"/>
      <c r="J13" s="85"/>
      <c r="K13" s="85"/>
      <c r="L13" s="85"/>
    </row>
    <row r="14" spans="2:14" x14ac:dyDescent="0.3">
      <c r="B14" s="4" t="s">
        <v>117</v>
      </c>
      <c r="C14" s="19">
        <f>C13*C6*0.01</f>
        <v>815.0442240000001</v>
      </c>
      <c r="D14" s="19"/>
      <c r="E14" s="19"/>
      <c r="M14" s="48"/>
    </row>
    <row r="15" spans="2:14" x14ac:dyDescent="0.3">
      <c r="B15" s="4" t="s">
        <v>111</v>
      </c>
      <c r="C15" s="19"/>
      <c r="D15" s="19"/>
      <c r="E15" s="19"/>
      <c r="M15" s="48"/>
    </row>
    <row r="16" spans="2:14" x14ac:dyDescent="0.3">
      <c r="C16" s="237" t="s">
        <v>118</v>
      </c>
      <c r="D16" s="222"/>
      <c r="E16" s="222"/>
      <c r="F16" s="222"/>
      <c r="G16" s="222"/>
      <c r="H16" s="222"/>
      <c r="I16" s="222"/>
      <c r="J16" s="222"/>
      <c r="K16" s="35"/>
      <c r="L16" s="35"/>
      <c r="M16" s="48"/>
    </row>
    <row r="17" spans="2:14" x14ac:dyDescent="0.3">
      <c r="B17" s="75" t="s">
        <v>74</v>
      </c>
      <c r="C17" s="97" t="s">
        <v>103</v>
      </c>
      <c r="D17" s="97"/>
      <c r="E17" s="97"/>
      <c r="F17" s="35" t="s">
        <v>104</v>
      </c>
      <c r="G17" s="35"/>
      <c r="H17" s="35"/>
      <c r="I17" s="35"/>
      <c r="J17" s="35" t="s">
        <v>105</v>
      </c>
      <c r="L17" s="35"/>
      <c r="M17" s="48"/>
    </row>
    <row r="18" spans="2:14" x14ac:dyDescent="0.3">
      <c r="B18" s="4" t="s">
        <v>44</v>
      </c>
      <c r="C18" s="136">
        <f>'1. Vac 24'!C7</f>
        <v>42644</v>
      </c>
      <c r="D18" s="19"/>
      <c r="E18" s="19"/>
      <c r="F18" s="136">
        <f>'2. Vac 34'!C7</f>
        <v>42644</v>
      </c>
      <c r="J18" s="136">
        <f>'3. Vac 45'!D7</f>
        <v>42689</v>
      </c>
      <c r="M18" s="48"/>
    </row>
    <row r="19" spans="2:14" x14ac:dyDescent="0.3">
      <c r="B19" s="2" t="s">
        <v>75</v>
      </c>
      <c r="C19" s="74"/>
      <c r="D19" s="13"/>
      <c r="E19" s="13"/>
      <c r="F19" s="112"/>
      <c r="G19" s="112"/>
      <c r="H19" s="112"/>
      <c r="I19" s="112"/>
      <c r="J19" s="112">
        <f>'3. Vac 45'!C23</f>
        <v>1.7</v>
      </c>
      <c r="M19" s="8"/>
    </row>
    <row r="20" spans="2:14" x14ac:dyDescent="0.3">
      <c r="B20" s="2" t="s">
        <v>76</v>
      </c>
      <c r="C20" s="108"/>
      <c r="D20" s="7"/>
      <c r="E20" s="7"/>
      <c r="F20" s="118"/>
      <c r="G20" s="118"/>
      <c r="H20" s="118"/>
      <c r="I20" s="118"/>
      <c r="J20" s="118">
        <f>'3. Vac 45'!C24</f>
        <v>76.5</v>
      </c>
      <c r="M20" s="2"/>
    </row>
    <row r="21" spans="2:14" x14ac:dyDescent="0.3">
      <c r="B21" s="2" t="s">
        <v>77</v>
      </c>
      <c r="C21" s="113">
        <f>'1. Vac 24'!C25</f>
        <v>550</v>
      </c>
      <c r="D21" s="114"/>
      <c r="E21" s="114"/>
      <c r="F21" s="79">
        <f>'2. Vac 34'!C25</f>
        <v>550</v>
      </c>
      <c r="G21" s="79"/>
      <c r="H21" s="79"/>
      <c r="I21" s="79"/>
      <c r="J21" s="79">
        <f>'3. Vac 45'!C25</f>
        <v>626.5</v>
      </c>
      <c r="M21" s="16"/>
    </row>
    <row r="22" spans="2:14" x14ac:dyDescent="0.3">
      <c r="B22" s="2" t="s">
        <v>78</v>
      </c>
      <c r="C22" s="115">
        <f>'1. Vac 24'!C26</f>
        <v>0.02</v>
      </c>
      <c r="D22" s="14"/>
      <c r="E22" s="14"/>
      <c r="F22" s="101">
        <f>'2. Vac 34'!C26</f>
        <v>0.02</v>
      </c>
      <c r="G22" s="101"/>
      <c r="H22" s="101"/>
      <c r="I22" s="101"/>
      <c r="J22" s="101">
        <f>'3. Vac 45'!C26</f>
        <v>0.02</v>
      </c>
      <c r="K22" s="43"/>
      <c r="L22" s="43"/>
    </row>
    <row r="23" spans="2:14" x14ac:dyDescent="0.3">
      <c r="B23" s="2" t="s">
        <v>113</v>
      </c>
      <c r="C23" s="116">
        <f>'1. Vac 24'!C27</f>
        <v>539</v>
      </c>
      <c r="D23" s="40"/>
      <c r="E23" s="40"/>
      <c r="F23" s="79">
        <f>'2. Vac 34'!C27</f>
        <v>539</v>
      </c>
      <c r="G23" s="79"/>
      <c r="H23" s="79"/>
      <c r="I23" s="79"/>
      <c r="J23" s="79">
        <f>'3. Vac 45'!C27</f>
        <v>613.97</v>
      </c>
      <c r="K23" s="41"/>
      <c r="L23" s="41"/>
      <c r="M23" s="2"/>
    </row>
    <row r="24" spans="2:14" x14ac:dyDescent="0.3">
      <c r="B24" s="4" t="s">
        <v>73</v>
      </c>
      <c r="C24" s="93">
        <f>'1. Vac 24'!C28</f>
        <v>160</v>
      </c>
      <c r="D24" s="24"/>
      <c r="E24" s="24"/>
      <c r="F24" s="117">
        <f>'2. Vac 34'!C28</f>
        <v>160</v>
      </c>
      <c r="G24" s="117"/>
      <c r="H24" s="117"/>
      <c r="I24" s="117"/>
      <c r="J24" s="80">
        <f>'3. Vac 45'!C28</f>
        <v>160</v>
      </c>
      <c r="K24" s="43"/>
      <c r="L24" s="43"/>
    </row>
    <row r="25" spans="2:14" x14ac:dyDescent="0.3">
      <c r="B25" s="4" t="s">
        <v>88</v>
      </c>
      <c r="C25" s="93">
        <f>'1. Vac 24'!C29</f>
        <v>0</v>
      </c>
      <c r="D25" s="24"/>
      <c r="E25" s="24"/>
      <c r="F25" s="19">
        <f>'2. Vac 34'!C29</f>
        <v>4</v>
      </c>
      <c r="G25" s="19"/>
      <c r="H25" s="19"/>
      <c r="I25" s="19"/>
      <c r="J25" s="19">
        <f>'3. Vac 45'!C32</f>
        <v>10</v>
      </c>
      <c r="K25" s="78"/>
      <c r="L25" s="78"/>
    </row>
    <row r="26" spans="2:14" x14ac:dyDescent="0.3">
      <c r="B26" s="2" t="s">
        <v>147</v>
      </c>
      <c r="C26" s="150">
        <f>'1. Vac 24'!C30</f>
        <v>0.99</v>
      </c>
      <c r="D26" s="151"/>
      <c r="E26" s="151"/>
      <c r="F26" s="16">
        <f>'2. Vac 34'!C30</f>
        <v>0.99</v>
      </c>
      <c r="G26" s="16"/>
      <c r="H26" s="16"/>
      <c r="I26" s="16"/>
      <c r="J26" s="126">
        <f>'3. Vac 45'!C31</f>
        <v>-3.1985000000000015</v>
      </c>
      <c r="K26" s="81"/>
      <c r="L26" s="81"/>
    </row>
    <row r="27" spans="2:14" x14ac:dyDescent="0.3">
      <c r="B27" s="4" t="s">
        <v>65</v>
      </c>
      <c r="C27" s="93">
        <f>'1. Vac 24'!C36</f>
        <v>156.59419248608535</v>
      </c>
      <c r="D27" s="76" t="s">
        <v>66</v>
      </c>
      <c r="E27" s="76"/>
      <c r="F27" s="19">
        <f>'2. Vac 34'!C32</f>
        <v>164.99</v>
      </c>
      <c r="G27" s="19"/>
      <c r="H27" s="163" t="s">
        <v>66</v>
      </c>
      <c r="I27" s="19"/>
      <c r="J27" s="19">
        <f>'3. Vac 45'!C33</f>
        <v>166.8015</v>
      </c>
      <c r="K27" s="163" t="s">
        <v>66</v>
      </c>
      <c r="L27" s="76"/>
      <c r="M27" s="2"/>
    </row>
    <row r="28" spans="2:14" x14ac:dyDescent="0.3">
      <c r="B28" s="2" t="s">
        <v>43</v>
      </c>
      <c r="C28" s="121">
        <f>'1. Vac 24'!C33</f>
        <v>2.5</v>
      </c>
      <c r="D28" s="42">
        <f>(C28*0.01*C27)</f>
        <v>3.914854812152134</v>
      </c>
      <c r="E28" s="42"/>
      <c r="F28" s="119">
        <f>'2. Vac 34'!C33</f>
        <v>2.5</v>
      </c>
      <c r="G28" s="119"/>
      <c r="H28" s="32">
        <f>'2. Vac 34'!D33</f>
        <v>4.1247500000000006</v>
      </c>
      <c r="I28" s="119"/>
      <c r="J28" s="120">
        <f>'3. Vac 45'!C34</f>
        <v>2.5</v>
      </c>
      <c r="K28" s="33">
        <f>'3. Vac 45'!D34</f>
        <v>4.1700375000000003</v>
      </c>
      <c r="L28" s="42"/>
      <c r="M28" s="9"/>
      <c r="N28" s="2"/>
    </row>
    <row r="29" spans="2:14" x14ac:dyDescent="0.3">
      <c r="B29" s="2" t="s">
        <v>192</v>
      </c>
      <c r="C29" s="122">
        <f>'1. Vac 24'!C34</f>
        <v>2</v>
      </c>
      <c r="D29" s="42">
        <f>(C29/C23)*100</f>
        <v>0.3710575139146568</v>
      </c>
      <c r="E29" s="42"/>
      <c r="F29" s="32">
        <f>'2. Vac 34'!C34</f>
        <v>2</v>
      </c>
      <c r="G29" s="32"/>
      <c r="H29" s="32">
        <f>'2. Vac 34'!D34</f>
        <v>0.3710575139146568</v>
      </c>
      <c r="I29" s="32"/>
      <c r="J29" s="33">
        <f>'3. Vac 45'!C35</f>
        <v>2</v>
      </c>
      <c r="K29" s="33">
        <f>'3. Vac 45'!D35</f>
        <v>0.32574881508868508</v>
      </c>
      <c r="L29" s="42"/>
      <c r="M29" s="34"/>
      <c r="N29" s="2"/>
    </row>
    <row r="30" spans="2:14" x14ac:dyDescent="0.3">
      <c r="B30" s="104" t="s">
        <v>47</v>
      </c>
      <c r="C30" s="109">
        <f>'1. Vac 24'!C36</f>
        <v>156.59419248608535</v>
      </c>
      <c r="D30" s="107"/>
      <c r="E30" s="107"/>
      <c r="F30" s="19">
        <f>'2. Vac 34'!C36</f>
        <v>160.49419248608535</v>
      </c>
      <c r="G30" s="19"/>
      <c r="H30" s="19"/>
      <c r="I30" s="19"/>
      <c r="J30" s="19">
        <f>'3. Vac 45'!C37</f>
        <v>162.30571368491132</v>
      </c>
      <c r="K30" s="53"/>
      <c r="L30" s="53"/>
    </row>
    <row r="31" spans="2:14" x14ac:dyDescent="0.3">
      <c r="B31" s="2" t="s">
        <v>97</v>
      </c>
      <c r="C31" s="132">
        <f>'1. Vac 24'!C37</f>
        <v>0</v>
      </c>
      <c r="D31" s="47"/>
      <c r="E31" s="47"/>
      <c r="F31" s="8">
        <f>'2. Vac 34'!C37</f>
        <v>0</v>
      </c>
      <c r="G31" s="8"/>
      <c r="H31" s="8"/>
      <c r="I31" s="8"/>
      <c r="J31" s="123">
        <f>'3. Vac 45'!C38</f>
        <v>1</v>
      </c>
      <c r="K31" s="2"/>
      <c r="L31" s="2"/>
      <c r="M31" s="2"/>
    </row>
    <row r="32" spans="2:14" x14ac:dyDescent="0.3">
      <c r="B32" s="2" t="s">
        <v>11</v>
      </c>
      <c r="C32" s="131">
        <f>'1. Vac 24'!C38</f>
        <v>539</v>
      </c>
      <c r="D32" s="40"/>
      <c r="E32" s="40"/>
      <c r="F32" s="124">
        <f>'2. Vac 34'!C38</f>
        <v>539</v>
      </c>
      <c r="G32" s="124"/>
      <c r="H32" s="124"/>
      <c r="I32" s="124"/>
      <c r="J32" s="124">
        <f>'3. Vac 45'!C39</f>
        <v>607.83029999999997</v>
      </c>
      <c r="K32" s="8"/>
      <c r="L32" s="8"/>
      <c r="M32" s="2"/>
    </row>
    <row r="33" spans="2:13" x14ac:dyDescent="0.3">
      <c r="B33" s="4" t="s">
        <v>93</v>
      </c>
      <c r="C33" s="130">
        <f>'1. Vac 24'!C39</f>
        <v>844.04269750000003</v>
      </c>
      <c r="D33" s="125"/>
      <c r="E33" s="125"/>
      <c r="F33" s="80">
        <f>'2. Vac 34'!C39</f>
        <v>865.0636975000001</v>
      </c>
      <c r="G33" s="80"/>
      <c r="H33" s="80"/>
      <c r="I33" s="80"/>
      <c r="J33" s="80">
        <f>'3. Vac 45'!C40</f>
        <v>986.54330640813748</v>
      </c>
      <c r="K33" s="85"/>
      <c r="L33" s="85"/>
      <c r="M33" s="32"/>
    </row>
    <row r="34" spans="2:13" x14ac:dyDescent="0.3">
      <c r="B34" s="4"/>
      <c r="C34" s="130"/>
      <c r="D34" s="125"/>
      <c r="E34" s="125"/>
      <c r="F34" s="80"/>
      <c r="G34" s="80"/>
      <c r="H34" s="80"/>
      <c r="I34" s="80"/>
      <c r="J34" s="80"/>
      <c r="K34" s="85"/>
      <c r="L34" s="85"/>
      <c r="M34" s="32"/>
    </row>
    <row r="35" spans="2:13" x14ac:dyDescent="0.3">
      <c r="B35" s="4" t="s">
        <v>12</v>
      </c>
      <c r="C35" s="97" t="str">
        <f>C17</f>
        <v>Vac 24</v>
      </c>
      <c r="D35" s="129" t="s">
        <v>100</v>
      </c>
      <c r="E35" s="129"/>
      <c r="F35" s="97" t="str">
        <f>F17</f>
        <v>Vac 34</v>
      </c>
      <c r="G35" s="97"/>
      <c r="H35" s="129" t="s">
        <v>100</v>
      </c>
      <c r="I35" s="129"/>
      <c r="J35" s="97" t="str">
        <f>J17</f>
        <v>Vac 45</v>
      </c>
      <c r="K35" s="129" t="s">
        <v>100</v>
      </c>
    </row>
    <row r="36" spans="2:13" x14ac:dyDescent="0.3">
      <c r="B36" s="2" t="s">
        <v>109</v>
      </c>
      <c r="C36" s="32">
        <f>'1. Vac 24'!C20</f>
        <v>815.0442240000001</v>
      </c>
      <c r="D36" s="101">
        <f t="shared" ref="D36:D42" si="0">IF(C36=0," ",C36/$C$43)</f>
        <v>0.97897547882203406</v>
      </c>
      <c r="E36" s="101"/>
      <c r="F36" s="32">
        <f>'2. Vac 34'!C20</f>
        <v>815.0442240000001</v>
      </c>
      <c r="G36" s="32"/>
      <c r="H36" s="101">
        <f>IF(F36=0," ",F36/$F$43)</f>
        <v>0.97448908101996634</v>
      </c>
      <c r="I36" s="101"/>
      <c r="J36" s="32">
        <f>'3. Vac 45'!C20</f>
        <v>815.0442240000001</v>
      </c>
      <c r="K36" s="101">
        <f>IF(J36=0," ",J36/$J$43)</f>
        <v>0.892882091662479</v>
      </c>
    </row>
    <row r="37" spans="2:13" x14ac:dyDescent="0.3">
      <c r="B37" s="2" t="s">
        <v>106</v>
      </c>
      <c r="C37" s="32">
        <f>'1. Vac 24'!F17</f>
        <v>5</v>
      </c>
      <c r="D37" s="101">
        <f t="shared" si="0"/>
        <v>6.0056586501374548E-3</v>
      </c>
      <c r="E37" s="101"/>
      <c r="F37" s="32">
        <f>'2. Vac 34'!F17</f>
        <v>9</v>
      </c>
      <c r="G37" s="32"/>
      <c r="H37" s="101">
        <f t="shared" ref="H37:H42" si="1">IF(F37=0," ",F37/$F$43)</f>
        <v>1.0760645215221715E-2</v>
      </c>
      <c r="I37" s="101"/>
      <c r="J37" s="32">
        <f>'3. Vac 45'!F17</f>
        <v>14.25</v>
      </c>
      <c r="K37" s="101">
        <f t="shared" ref="K37:K42" si="2">IF(J37=0," ",J37/$J$43)</f>
        <v>1.5610895006097636E-2</v>
      </c>
    </row>
    <row r="38" spans="2:13" x14ac:dyDescent="0.3">
      <c r="B38" s="2" t="s">
        <v>108</v>
      </c>
      <c r="C38" s="32">
        <f>'1. Vac 24'!F20</f>
        <v>0</v>
      </c>
      <c r="D38" s="101" t="str">
        <f t="shared" si="0"/>
        <v xml:space="preserve"> </v>
      </c>
      <c r="E38" s="101"/>
      <c r="F38" s="32">
        <f>'2. Vac 34'!F20</f>
        <v>0</v>
      </c>
      <c r="G38" s="32"/>
      <c r="H38" s="101" t="str">
        <f t="shared" si="1"/>
        <v xml:space="preserve"> </v>
      </c>
      <c r="I38" s="101"/>
      <c r="J38" s="32">
        <f>'3. Vac 45'!F20</f>
        <v>45</v>
      </c>
      <c r="K38" s="101">
        <f t="shared" si="2"/>
        <v>4.9297563177150429E-2</v>
      </c>
    </row>
    <row r="39" spans="2:13" x14ac:dyDescent="0.3">
      <c r="B39" s="2" t="s">
        <v>107</v>
      </c>
      <c r="C39" s="32">
        <f>C40-(SUM(C36:C38))</f>
        <v>5</v>
      </c>
      <c r="D39" s="101">
        <f t="shared" si="0"/>
        <v>6.0056586501374548E-3</v>
      </c>
      <c r="E39" s="101"/>
      <c r="F39" s="32">
        <f>F40-(SUM(F36:F38))</f>
        <v>0</v>
      </c>
      <c r="G39" s="32"/>
      <c r="H39" s="101" t="str">
        <f t="shared" si="1"/>
        <v xml:space="preserve"> </v>
      </c>
      <c r="I39" s="101"/>
      <c r="J39" s="32">
        <f>J40-(SUM(J36:J38))</f>
        <v>0</v>
      </c>
      <c r="K39" s="101" t="str">
        <f t="shared" si="2"/>
        <v xml:space="preserve"> </v>
      </c>
    </row>
    <row r="40" spans="2:13" x14ac:dyDescent="0.3">
      <c r="B40" s="4" t="s">
        <v>81</v>
      </c>
      <c r="C40" s="19">
        <f>'1. Vac 24'!F22+C36</f>
        <v>825.0442240000001</v>
      </c>
      <c r="D40" s="101">
        <f t="shared" si="0"/>
        <v>0.990986796122309</v>
      </c>
      <c r="E40" s="101"/>
      <c r="F40" s="80">
        <f>'2. Vac 34'!F22+F36</f>
        <v>824.0442240000001</v>
      </c>
      <c r="G40" s="80"/>
      <c r="H40" s="101">
        <f t="shared" si="1"/>
        <v>0.98524972623518803</v>
      </c>
      <c r="I40" s="101"/>
      <c r="J40" s="80">
        <f>'3. Vac 45'!F22+J36</f>
        <v>874.2942240000001</v>
      </c>
      <c r="K40" s="101">
        <f t="shared" si="2"/>
        <v>0.95779054984572698</v>
      </c>
    </row>
    <row r="41" spans="2:13" x14ac:dyDescent="0.3">
      <c r="B41" s="4" t="s">
        <v>82</v>
      </c>
      <c r="C41" s="32">
        <f>'1. Vac 24'!F27</f>
        <v>4.8000000000000007</v>
      </c>
      <c r="D41" s="101">
        <f t="shared" si="0"/>
        <v>5.7654323041319575E-3</v>
      </c>
      <c r="E41" s="101"/>
      <c r="F41" s="32">
        <f>'2. Vac 34'!F27</f>
        <v>8.5</v>
      </c>
      <c r="G41" s="32"/>
      <c r="H41" s="101">
        <f t="shared" si="1"/>
        <v>1.0162831592153842E-2</v>
      </c>
      <c r="I41" s="101"/>
      <c r="J41" s="32">
        <f>'3. Vac 45'!F27</f>
        <v>33.75</v>
      </c>
      <c r="K41" s="101">
        <f t="shared" si="2"/>
        <v>3.6973172382862823E-2</v>
      </c>
    </row>
    <row r="42" spans="2:13" x14ac:dyDescent="0.3">
      <c r="B42" s="4" t="s">
        <v>34</v>
      </c>
      <c r="C42" s="32">
        <f>'1. Vac 24'!F31</f>
        <v>2.7039262158904118</v>
      </c>
      <c r="D42" s="101">
        <f t="shared" si="0"/>
        <v>3.2477715735591377E-3</v>
      </c>
      <c r="E42" s="101"/>
      <c r="F42" s="32">
        <f>'2. Vac 34'!F31</f>
        <v>3.8368498104109592</v>
      </c>
      <c r="G42" s="32"/>
      <c r="H42" s="101">
        <f t="shared" si="1"/>
        <v>4.587442172658115E-3</v>
      </c>
      <c r="I42" s="101"/>
      <c r="J42" s="32">
        <f>'3. Vac 45'!F33</f>
        <v>4.7798001468493156</v>
      </c>
      <c r="K42" s="101">
        <f t="shared" si="2"/>
        <v>5.2362777714101564E-3</v>
      </c>
    </row>
    <row r="43" spans="2:13" ht="12.9" thickBot="1" x14ac:dyDescent="0.35">
      <c r="B43" s="4" t="s">
        <v>95</v>
      </c>
      <c r="C43" s="111">
        <f>'1. Vac 24'!F36</f>
        <v>832.54815021589047</v>
      </c>
      <c r="D43" s="101"/>
      <c r="E43" s="101"/>
      <c r="F43" s="111">
        <f>'2. Vac 34'!F36</f>
        <v>836.38107381041107</v>
      </c>
      <c r="G43" s="100"/>
      <c r="H43" s="19"/>
      <c r="I43" s="101"/>
      <c r="J43" s="111">
        <f>'3. Vac 45'!F38</f>
        <v>912.82402414684941</v>
      </c>
      <c r="K43" s="4"/>
      <c r="L43" s="4"/>
    </row>
    <row r="44" spans="2:13" ht="12.9" thickTop="1" x14ac:dyDescent="0.3">
      <c r="B44" s="55" t="s">
        <v>90</v>
      </c>
      <c r="C44" s="62">
        <f>'1. Vac 24'!F38</f>
        <v>11.494547284109558</v>
      </c>
      <c r="D44" s="62"/>
      <c r="E44" s="62"/>
      <c r="F44" s="62">
        <f>'2. Vac 34'!F38</f>
        <v>28.682623689589036</v>
      </c>
      <c r="G44" s="62"/>
      <c r="H44" s="62"/>
      <c r="I44" s="173"/>
      <c r="J44" s="62">
        <f>'3. Vac 45'!F40</f>
        <v>73.719282261288072</v>
      </c>
      <c r="K44" s="4"/>
      <c r="L44" s="4"/>
    </row>
    <row r="45" spans="2:13" x14ac:dyDescent="0.3">
      <c r="B45" s="104"/>
      <c r="C45" s="19"/>
      <c r="D45" s="19"/>
      <c r="E45" s="19"/>
      <c r="F45" s="19"/>
      <c r="G45" s="19"/>
      <c r="H45" s="19"/>
      <c r="I45" s="19"/>
      <c r="J45" s="19"/>
      <c r="K45" s="4"/>
      <c r="L45" s="4"/>
    </row>
    <row r="46" spans="2:13" x14ac:dyDescent="0.3">
      <c r="B46" s="55" t="s">
        <v>37</v>
      </c>
      <c r="C46" s="63">
        <f>'1. Vac 24'!C44</f>
        <v>0.26255290208287668</v>
      </c>
      <c r="D46" s="56"/>
      <c r="E46" s="56"/>
      <c r="F46" s="63">
        <f>'2. Vac 34'!C44</f>
        <v>0.42377829608760326</v>
      </c>
      <c r="G46" s="172"/>
      <c r="H46" s="172"/>
      <c r="I46" s="172"/>
      <c r="J46" s="63">
        <f>'3. Vac 45'!C46</f>
        <v>0.73903899741386903</v>
      </c>
      <c r="K46" s="4"/>
      <c r="L46" s="4"/>
    </row>
    <row r="47" spans="2:13" x14ac:dyDescent="0.3">
      <c r="F47" s="4"/>
      <c r="G47" s="4"/>
      <c r="H47" s="4"/>
      <c r="I47" s="4"/>
      <c r="J47" s="4"/>
      <c r="K47" s="4"/>
      <c r="L47" s="4"/>
    </row>
    <row r="48" spans="2:13" x14ac:dyDescent="0.3">
      <c r="B48" s="53" t="s">
        <v>69</v>
      </c>
      <c r="C48" s="127"/>
      <c r="D48" s="51"/>
      <c r="E48" s="51"/>
      <c r="F48" s="19"/>
      <c r="G48" s="19"/>
      <c r="H48" s="19"/>
      <c r="I48" s="19"/>
      <c r="J48" s="19">
        <f>'3. Vac 45'!C48</f>
        <v>2.9655575435046591</v>
      </c>
      <c r="K48" s="4"/>
      <c r="L48" s="4"/>
    </row>
    <row r="49" spans="2:12" x14ac:dyDescent="0.3">
      <c r="B49" s="53" t="s">
        <v>70</v>
      </c>
      <c r="C49" s="128"/>
      <c r="D49" s="17"/>
      <c r="E49" s="17"/>
      <c r="F49" s="19"/>
      <c r="G49" s="19"/>
      <c r="H49" s="19"/>
      <c r="I49" s="19"/>
      <c r="J49" s="19">
        <f>'3. Vac 45'!F48</f>
        <v>1.6908056874484374</v>
      </c>
      <c r="K49" s="17"/>
      <c r="L49" s="17"/>
    </row>
    <row r="51" spans="2:12" x14ac:dyDescent="0.3">
      <c r="B51" s="4" t="s">
        <v>2</v>
      </c>
    </row>
    <row r="52" spans="2:12" x14ac:dyDescent="0.3">
      <c r="B52" s="2" t="s">
        <v>35</v>
      </c>
      <c r="C52" s="16">
        <f>'1. Vac 24'!F41</f>
        <v>28.998473499999932</v>
      </c>
      <c r="D52" s="16"/>
      <c r="E52" s="16"/>
      <c r="F52" s="16">
        <f>'2. Vac 34'!F41</f>
        <v>50.019473500000004</v>
      </c>
      <c r="G52" s="16"/>
      <c r="H52" s="16"/>
      <c r="I52" s="16"/>
      <c r="J52" s="126">
        <f>'3. Vac 45'!F43</f>
        <v>171.49908240813738</v>
      </c>
      <c r="K52" s="17"/>
      <c r="L52" s="17"/>
    </row>
    <row r="53" spans="2:12" x14ac:dyDescent="0.3">
      <c r="B53" s="2" t="s">
        <v>36</v>
      </c>
      <c r="C53" s="16">
        <f>'1. Vac 24'!F42</f>
        <v>17.503926215890413</v>
      </c>
      <c r="D53" s="16"/>
      <c r="E53" s="16"/>
      <c r="F53" s="16">
        <f>'2. Vac 34'!F42</f>
        <v>21.336849810410961</v>
      </c>
      <c r="G53" s="16"/>
      <c r="H53" s="16"/>
      <c r="I53" s="16"/>
      <c r="J53" s="126">
        <f>'3. Vac 45'!F44</f>
        <v>97.779800146849311</v>
      </c>
      <c r="K53" s="17"/>
      <c r="L53" s="17"/>
    </row>
    <row r="54" spans="2:12" x14ac:dyDescent="0.3">
      <c r="B54" s="4" t="s">
        <v>90</v>
      </c>
      <c r="C54" s="110">
        <f>'1. Vac 24'!F44</f>
        <v>11.494547284109558</v>
      </c>
      <c r="D54" s="110"/>
      <c r="E54" s="110"/>
      <c r="F54" s="17">
        <f>'2. Vac 34'!F44</f>
        <v>28.682623689589036</v>
      </c>
      <c r="G54" s="17"/>
      <c r="H54" s="17"/>
      <c r="I54" s="17"/>
      <c r="J54" s="17">
        <f>'3. Vac 45'!F46</f>
        <v>73.719282261288072</v>
      </c>
      <c r="K54" s="17"/>
      <c r="L54" s="17"/>
    </row>
    <row r="55" spans="2:12" x14ac:dyDescent="0.3">
      <c r="B55" s="4"/>
      <c r="C55" s="110"/>
      <c r="D55" s="110"/>
      <c r="E55" s="110"/>
      <c r="F55" s="16"/>
      <c r="G55" s="16"/>
      <c r="H55" s="16"/>
      <c r="I55" s="16"/>
      <c r="J55" s="126"/>
      <c r="K55" s="17"/>
      <c r="L55" s="17"/>
    </row>
    <row r="56" spans="2:12" x14ac:dyDescent="0.3">
      <c r="B56" s="4" t="s">
        <v>115</v>
      </c>
      <c r="C56" s="110">
        <f>'1. Vac 24'!G37</f>
        <v>156.59419248608535</v>
      </c>
      <c r="D56" s="110"/>
      <c r="E56" s="110"/>
      <c r="F56" s="17">
        <f>'2. Vac 34'!G37</f>
        <v>160.49419248608535</v>
      </c>
      <c r="G56" s="17"/>
      <c r="H56" s="17"/>
      <c r="I56" s="17"/>
      <c r="J56" s="17">
        <f>'3. Vac 45'!G39</f>
        <v>162.30571368491132</v>
      </c>
      <c r="K56" s="17"/>
      <c r="L56" s="17"/>
    </row>
    <row r="57" spans="2:12" x14ac:dyDescent="0.3">
      <c r="B57" s="4"/>
      <c r="C57" s="110"/>
      <c r="D57" s="110"/>
      <c r="E57" s="110"/>
      <c r="F57" s="17"/>
      <c r="G57" s="17"/>
      <c r="H57" s="17"/>
      <c r="I57" s="17"/>
      <c r="K57" s="17"/>
      <c r="L57" s="17"/>
    </row>
    <row r="58" spans="2:12" x14ac:dyDescent="0.3">
      <c r="B58" s="4" t="s">
        <v>131</v>
      </c>
      <c r="C58" s="110">
        <f>'1. Vac 24'!C50</f>
        <v>10</v>
      </c>
      <c r="D58" s="110"/>
      <c r="E58" s="110"/>
      <c r="F58" s="17">
        <f>'2. Vac 34'!C50</f>
        <v>20</v>
      </c>
      <c r="G58" s="17"/>
      <c r="H58" s="17"/>
      <c r="I58" s="17"/>
      <c r="J58" s="17">
        <f>'3. Vac 45'!C52</f>
        <v>25</v>
      </c>
      <c r="K58" s="17"/>
      <c r="L58" s="17"/>
    </row>
    <row r="59" spans="2:12" x14ac:dyDescent="0.3">
      <c r="B59" s="55" t="s">
        <v>112</v>
      </c>
      <c r="C59" s="169">
        <f>'1. Vac 24'!G50</f>
        <v>0.23491628841852419</v>
      </c>
      <c r="D59" s="170"/>
      <c r="E59" s="170"/>
      <c r="F59" s="169">
        <f>'2. Vac 34'!G50</f>
        <v>0.31063047797351534</v>
      </c>
      <c r="G59" s="169"/>
      <c r="H59" s="169"/>
      <c r="I59" s="169"/>
      <c r="J59" s="169">
        <f>'3. Vac 45'!G52</f>
        <v>0.28036548923317689</v>
      </c>
      <c r="K59" s="17"/>
      <c r="L59" s="17"/>
    </row>
    <row r="60" spans="2:12" x14ac:dyDescent="0.3">
      <c r="B60" s="4"/>
      <c r="C60" s="110"/>
      <c r="D60" s="110"/>
      <c r="E60" s="110"/>
      <c r="F60" s="17"/>
      <c r="G60" s="17"/>
      <c r="H60" s="17"/>
      <c r="I60" s="17"/>
      <c r="J60" s="17"/>
      <c r="K60" s="17"/>
      <c r="L60" s="17"/>
    </row>
    <row r="61" spans="2:12" x14ac:dyDescent="0.3">
      <c r="B61" s="4" t="s">
        <v>114</v>
      </c>
      <c r="C61" s="110">
        <f>'1. Vac 24'!D50</f>
        <v>156.31691098625055</v>
      </c>
      <c r="D61" s="110"/>
      <c r="E61" s="110"/>
      <c r="F61" s="17">
        <f>'2. Vac 34'!D50</f>
        <v>158.88331610582765</v>
      </c>
      <c r="G61" s="17"/>
      <c r="H61" s="17"/>
      <c r="I61" s="17"/>
      <c r="J61" s="17">
        <f>'3. Vac 45'!D52</f>
        <v>154.29043668057506</v>
      </c>
      <c r="K61" s="17"/>
      <c r="L61" s="17"/>
    </row>
    <row r="62" spans="2:12" x14ac:dyDescent="0.3">
      <c r="L62" s="17"/>
    </row>
    <row r="63" spans="2:12" x14ac:dyDescent="0.3">
      <c r="B63" s="4" t="s">
        <v>116</v>
      </c>
      <c r="C63" s="33">
        <f>C25</f>
        <v>0</v>
      </c>
      <c r="D63" s="2"/>
      <c r="E63" s="2"/>
      <c r="F63" s="33">
        <f>F25</f>
        <v>4</v>
      </c>
      <c r="G63" s="33"/>
      <c r="H63" s="33"/>
      <c r="I63" s="33"/>
      <c r="J63" s="33">
        <f>J25</f>
        <v>10</v>
      </c>
      <c r="K63" s="17"/>
      <c r="L63" s="17"/>
    </row>
    <row r="64" spans="2:12" x14ac:dyDescent="0.3">
      <c r="B64" s="53" t="s">
        <v>119</v>
      </c>
      <c r="C64" s="134">
        <f>'1. Vac 24'!C14</f>
        <v>9</v>
      </c>
      <c r="D64" s="135"/>
      <c r="E64" s="135"/>
      <c r="F64" s="134">
        <f>'2. Vac 34'!C14</f>
        <v>9</v>
      </c>
      <c r="G64" s="134"/>
      <c r="H64" s="134"/>
      <c r="I64" s="134"/>
      <c r="J64" s="134">
        <f>'3. Vac 45'!C14</f>
        <v>9</v>
      </c>
      <c r="K64" s="17"/>
      <c r="L64" s="17"/>
    </row>
    <row r="65" spans="2:13" x14ac:dyDescent="0.3">
      <c r="B65" s="53"/>
      <c r="C65" s="134"/>
      <c r="D65" s="135"/>
      <c r="E65" s="135"/>
      <c r="F65" s="134"/>
      <c r="G65" s="134"/>
      <c r="H65" s="134"/>
      <c r="I65" s="134"/>
      <c r="J65" s="134"/>
      <c r="K65" s="17"/>
      <c r="L65" s="17"/>
    </row>
    <row r="66" spans="2:13" x14ac:dyDescent="0.3">
      <c r="B66" s="171" t="s">
        <v>110</v>
      </c>
      <c r="C66" s="170">
        <f>'1. Vac 24'!F51</f>
        <v>-0.27728149983479738</v>
      </c>
      <c r="D66" s="170"/>
      <c r="E66" s="170"/>
      <c r="F66" s="62">
        <f>'2. Vac 34'!F51</f>
        <v>2.3891236197422936</v>
      </c>
      <c r="G66" s="62"/>
      <c r="H66" s="62"/>
      <c r="I66" s="62"/>
      <c r="J66" s="62">
        <f>'3. Vac 45'!F53</f>
        <v>1.9847229956637449</v>
      </c>
      <c r="K66" s="17"/>
      <c r="M66" s="126" t="s">
        <v>132</v>
      </c>
    </row>
    <row r="67" spans="2:13" x14ac:dyDescent="0.3">
      <c r="B67" s="53" t="s">
        <v>130</v>
      </c>
      <c r="C67" s="110">
        <f>'1. Vac 24'!F50</f>
        <v>-0.27728149983479738</v>
      </c>
      <c r="D67" s="110"/>
      <c r="E67" s="110"/>
      <c r="F67" s="17">
        <f>'2. Vac 34'!F50</f>
        <v>-1.6108763802577062</v>
      </c>
      <c r="G67" s="17"/>
      <c r="H67" s="17"/>
      <c r="I67" s="17"/>
      <c r="J67" s="17">
        <f>'3. Vac 45'!F52</f>
        <v>-8.0152770043362551</v>
      </c>
      <c r="K67" s="17"/>
      <c r="L67" s="17"/>
    </row>
    <row r="68" spans="2:13" x14ac:dyDescent="0.3">
      <c r="B68" s="2" t="s">
        <v>143</v>
      </c>
    </row>
    <row r="69" spans="2:13" x14ac:dyDescent="0.3">
      <c r="B69" s="2" t="s">
        <v>154</v>
      </c>
    </row>
    <row r="70" spans="2:13" x14ac:dyDescent="0.3">
      <c r="B70" s="2" t="s">
        <v>135</v>
      </c>
      <c r="C70">
        <f>'1. Vac 24'!D60</f>
        <v>539</v>
      </c>
      <c r="F70">
        <f>'2. Vac 34'!C38</f>
        <v>539</v>
      </c>
      <c r="J70" s="79">
        <f>'3. Vac 45'!C39</f>
        <v>607.83029999999997</v>
      </c>
    </row>
    <row r="71" spans="2:13" x14ac:dyDescent="0.3">
      <c r="B71" s="2" t="s">
        <v>136</v>
      </c>
      <c r="C71" s="16">
        <f>C70*C61*0.01</f>
        <v>842.54815021589047</v>
      </c>
      <c r="F71" s="23">
        <f>F70*F61*0.01</f>
        <v>856.38107381041107</v>
      </c>
      <c r="J71" s="23">
        <f>J70*J61*0.01</f>
        <v>937.82402414684941</v>
      </c>
    </row>
    <row r="72" spans="2:13" x14ac:dyDescent="0.3">
      <c r="B72" s="2" t="s">
        <v>137</v>
      </c>
      <c r="C72" s="32">
        <f>C43</f>
        <v>832.54815021589047</v>
      </c>
      <c r="F72" s="32">
        <f>F43</f>
        <v>836.38107381041107</v>
      </c>
      <c r="J72" s="32">
        <f>J43</f>
        <v>912.82402414684941</v>
      </c>
    </row>
    <row r="73" spans="2:13" x14ac:dyDescent="0.3">
      <c r="B73" s="2" t="s">
        <v>138</v>
      </c>
      <c r="C73" s="16">
        <f>C71-C72</f>
        <v>10</v>
      </c>
      <c r="F73" s="16">
        <f>F71-F72</f>
        <v>20</v>
      </c>
      <c r="J73" s="16">
        <f>J71-J72</f>
        <v>25</v>
      </c>
    </row>
  </sheetData>
  <sheetProtection sheet="1" objects="1" scenarios="1"/>
  <mergeCells count="2">
    <mergeCell ref="C16:J16"/>
    <mergeCell ref="B1:J1"/>
  </mergeCells>
  <pageMargins left="0.7" right="0.7" top="0.75" bottom="0.75" header="0.3" footer="0.3"/>
  <pageSetup scale="81" orientation="portrait" r:id="rId1"/>
  <headerFooter>
    <oddFooter>&amp;L&amp;F&amp;R&amp;A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
  <sheetViews>
    <sheetView zoomScaleNormal="100" workbookViewId="0">
      <selection activeCell="B37" sqref="B37"/>
    </sheetView>
  </sheetViews>
  <sheetFormatPr defaultRowHeight="12.45" x14ac:dyDescent="0.3"/>
  <cols>
    <col min="1" max="1" width="3.69140625" customWidth="1"/>
    <col min="2" max="2" width="92.15234375" customWidth="1"/>
  </cols>
  <sheetData>
    <row r="1" spans="2:2" ht="14.15" x14ac:dyDescent="0.35">
      <c r="B1" s="155" t="s">
        <v>160</v>
      </c>
    </row>
    <row r="2" spans="2:2" ht="14.15" x14ac:dyDescent="0.35">
      <c r="B2" s="155"/>
    </row>
    <row r="3" spans="2:2" ht="115" customHeight="1" x14ac:dyDescent="0.3">
      <c r="B3" s="156" t="s">
        <v>197</v>
      </c>
    </row>
    <row r="4" spans="2:2" ht="15.55" customHeight="1" x14ac:dyDescent="0.3">
      <c r="B4" s="156"/>
    </row>
    <row r="5" spans="2:2" ht="127.3" x14ac:dyDescent="0.3">
      <c r="B5" s="157" t="s">
        <v>16</v>
      </c>
    </row>
    <row r="6" spans="2:2" ht="30" customHeight="1" x14ac:dyDescent="0.3">
      <c r="B6" s="157" t="s">
        <v>161</v>
      </c>
    </row>
    <row r="7" spans="2:2" ht="15.55" customHeight="1" x14ac:dyDescent="0.3">
      <c r="B7" s="157"/>
    </row>
    <row r="8" spans="2:2" ht="141.44999999999999" x14ac:dyDescent="0.3">
      <c r="B8" s="158" t="s">
        <v>17</v>
      </c>
    </row>
    <row r="9" spans="2:2" ht="14.15" x14ac:dyDescent="0.35">
      <c r="B9" s="159"/>
    </row>
    <row r="10" spans="2:2" ht="100" customHeight="1" x14ac:dyDescent="0.3">
      <c r="B10" s="158" t="s">
        <v>158</v>
      </c>
    </row>
    <row r="11" spans="2:2" ht="14.15" x14ac:dyDescent="0.3">
      <c r="B11" s="158"/>
    </row>
    <row r="12" spans="2:2" ht="40" customHeight="1" x14ac:dyDescent="0.3">
      <c r="B12" s="160" t="s">
        <v>18</v>
      </c>
    </row>
    <row r="13" spans="2:2" ht="14.15" x14ac:dyDescent="0.3">
      <c r="B13" s="160"/>
    </row>
    <row r="14" spans="2:2" ht="60" customHeight="1" x14ac:dyDescent="0.3">
      <c r="B14" s="158" t="s">
        <v>162</v>
      </c>
    </row>
    <row r="15" spans="2:2" ht="15.55" customHeight="1" x14ac:dyDescent="0.3"/>
    <row r="16" spans="2:2" ht="50.05" customHeight="1" x14ac:dyDescent="0.3">
      <c r="B16" s="157" t="s">
        <v>163</v>
      </c>
    </row>
    <row r="17" spans="2:2" ht="14.15" x14ac:dyDescent="0.3">
      <c r="B17" s="161"/>
    </row>
    <row r="18" spans="2:2" ht="28.3" x14ac:dyDescent="0.3">
      <c r="B18" s="157" t="s">
        <v>164</v>
      </c>
    </row>
    <row r="19" spans="2:2" ht="14.15" x14ac:dyDescent="0.3">
      <c r="B19" s="157"/>
    </row>
    <row r="20" spans="2:2" ht="56.6" x14ac:dyDescent="0.3">
      <c r="B20" s="157" t="s">
        <v>165</v>
      </c>
    </row>
    <row r="21" spans="2:2" ht="14.15" x14ac:dyDescent="0.3">
      <c r="B21" s="161"/>
    </row>
    <row r="22" spans="2:2" ht="42.45" x14ac:dyDescent="0.3">
      <c r="B22" s="157" t="s">
        <v>194</v>
      </c>
    </row>
    <row r="23" spans="2:2" ht="14.15" x14ac:dyDescent="0.3">
      <c r="B23" s="157"/>
    </row>
    <row r="24" spans="2:2" ht="28.3" x14ac:dyDescent="0.3">
      <c r="B24" s="157" t="s">
        <v>166</v>
      </c>
    </row>
    <row r="25" spans="2:2" ht="14.15" x14ac:dyDescent="0.3">
      <c r="B25" s="161"/>
    </row>
    <row r="26" spans="2:2" ht="56.6" x14ac:dyDescent="0.3">
      <c r="B26" s="157" t="s">
        <v>181</v>
      </c>
    </row>
    <row r="27" spans="2:2" ht="14.15" x14ac:dyDescent="0.3">
      <c r="B27" s="157"/>
    </row>
    <row r="28" spans="2:2" ht="70.75" x14ac:dyDescent="0.3">
      <c r="B28" s="157" t="s">
        <v>167</v>
      </c>
    </row>
    <row r="29" spans="2:2" ht="14.15" x14ac:dyDescent="0.3">
      <c r="B29" s="161"/>
    </row>
    <row r="30" spans="2:2" ht="28.3" x14ac:dyDescent="0.3">
      <c r="B30" s="157" t="s">
        <v>168</v>
      </c>
    </row>
    <row r="31" spans="2:2" ht="14.15" x14ac:dyDescent="0.3">
      <c r="B31" s="161"/>
    </row>
    <row r="32" spans="2:2" ht="14.15" x14ac:dyDescent="0.3">
      <c r="B32" s="157" t="s">
        <v>169</v>
      </c>
    </row>
    <row r="33" spans="2:2" ht="14.15" x14ac:dyDescent="0.3">
      <c r="B33" s="161"/>
    </row>
    <row r="34" spans="2:2" ht="28.3" x14ac:dyDescent="0.3">
      <c r="B34" s="157" t="s">
        <v>170</v>
      </c>
    </row>
    <row r="35" spans="2:2" ht="14.15" x14ac:dyDescent="0.3">
      <c r="B35" s="157"/>
    </row>
    <row r="36" spans="2:2" ht="14.15" x14ac:dyDescent="0.3">
      <c r="B36" s="157" t="s">
        <v>171</v>
      </c>
    </row>
    <row r="37" spans="2:2" ht="28.3" x14ac:dyDescent="0.3">
      <c r="B37" s="161" t="s">
        <v>172</v>
      </c>
    </row>
    <row r="38" spans="2:2" ht="14.15" x14ac:dyDescent="0.3">
      <c r="B38" s="161"/>
    </row>
    <row r="39" spans="2:2" ht="28.3" x14ac:dyDescent="0.3">
      <c r="B39" s="157" t="s">
        <v>173</v>
      </c>
    </row>
    <row r="40" spans="2:2" ht="14.15" x14ac:dyDescent="0.3">
      <c r="B40" s="157"/>
    </row>
    <row r="41" spans="2:2" ht="56.6" x14ac:dyDescent="0.3">
      <c r="B41" s="157" t="s">
        <v>174</v>
      </c>
    </row>
    <row r="42" spans="2:2" ht="14.15" x14ac:dyDescent="0.3">
      <c r="B42" s="157"/>
    </row>
    <row r="43" spans="2:2" ht="42.45" x14ac:dyDescent="0.3">
      <c r="B43" s="157" t="s">
        <v>175</v>
      </c>
    </row>
    <row r="44" spans="2:2" ht="14.15" x14ac:dyDescent="0.3">
      <c r="B44" s="161"/>
    </row>
    <row r="45" spans="2:2" ht="70.75" x14ac:dyDescent="0.3">
      <c r="B45" s="157" t="s">
        <v>176</v>
      </c>
    </row>
    <row r="46" spans="2:2" ht="14.15" x14ac:dyDescent="0.3">
      <c r="B46" s="161"/>
    </row>
    <row r="47" spans="2:2" ht="42.45" x14ac:dyDescent="0.3">
      <c r="B47" s="157" t="s">
        <v>177</v>
      </c>
    </row>
    <row r="48" spans="2:2" ht="14.15" x14ac:dyDescent="0.3">
      <c r="B48" s="161"/>
    </row>
    <row r="49" spans="2:2" ht="56.6" x14ac:dyDescent="0.3">
      <c r="B49" s="157" t="s">
        <v>178</v>
      </c>
    </row>
    <row r="50" spans="2:2" ht="14.15" x14ac:dyDescent="0.3">
      <c r="B50" s="161"/>
    </row>
    <row r="51" spans="2:2" ht="42.45" x14ac:dyDescent="0.3">
      <c r="B51" s="157" t="s">
        <v>179</v>
      </c>
    </row>
    <row r="52" spans="2:2" ht="14.15" x14ac:dyDescent="0.3">
      <c r="B52" s="157"/>
    </row>
    <row r="53" spans="2:2" ht="56.6" x14ac:dyDescent="0.3">
      <c r="B53" s="157" t="s">
        <v>180</v>
      </c>
    </row>
    <row r="55" spans="2:2" ht="28.3" x14ac:dyDescent="0.35">
      <c r="B55" s="162" t="s">
        <v>182</v>
      </c>
    </row>
  </sheetData>
  <sheetProtection sheet="1" objects="1" scenarios="1"/>
  <pageMargins left="0.7" right="0.7" top="0.75" bottom="0.75" header="0.3" footer="0.3"/>
  <pageSetup scale="65" orientation="portrait" r:id="rId1"/>
  <headerFooter>
    <oddFooter>&amp;L&amp;"Times New Roman,Regular"&amp;12&amp;K00C000&amp;F&amp;R&amp;A</oddFooter>
    <evenFooter>&amp;L&amp;"Times New Roman,Regular"&amp;12&amp;K00C000Public</evenFooter>
    <firstFooter>&amp;L&amp;"Times New Roman,Regular"&amp;12&amp;K00C000Public</firstFooter>
  </headerFooter>
  <rowBreaks count="1" manualBreakCount="1">
    <brk id="22" min="1"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id_classification_eurestricted" value=""/>
  <element uid="cefbaa69-3bfa-4b56-8d22-6839cb7b06d0" value=""/>
</sisl>
</file>

<file path=customXml/itemProps1.xml><?xml version="1.0" encoding="utf-8"?>
<ds:datastoreItem xmlns:ds="http://schemas.openxmlformats.org/officeDocument/2006/customXml" ds:itemID="{E1A9CB37-773B-426B-BE74-3289518414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Vac 24</vt:lpstr>
      <vt:lpstr>2. Vac 34</vt:lpstr>
      <vt:lpstr>3. Vac 45</vt:lpstr>
      <vt:lpstr>4. Weight-Price SlideCalculator</vt:lpstr>
      <vt:lpstr>5. Vac. Summary</vt:lpstr>
      <vt:lpstr>Definitions</vt:lpstr>
      <vt:lpstr>'1. Vac 24'!Print_Area</vt:lpstr>
      <vt:lpstr>'2. Vac 34'!Print_Area</vt:lpstr>
      <vt:lpstr>'3. Vac 45'!Print_Area</vt:lpstr>
      <vt:lpstr>'4. Weight-Price SlideCalculator'!Print_Area</vt:lpstr>
      <vt:lpstr>'5. Vac. Summary'!Print_Area</vt:lpstr>
      <vt:lpstr>Definitions!Print_Area</vt:lpstr>
    </vt:vector>
  </TitlesOfParts>
  <Company>Merck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Hill, DVM</dc:creator>
  <cp:lastModifiedBy>James McGrann</cp:lastModifiedBy>
  <cp:lastPrinted>2016-08-06T09:58:15Z</cp:lastPrinted>
  <dcterms:created xsi:type="dcterms:W3CDTF">2015-07-22T14:52:34Z</dcterms:created>
  <dcterms:modified xsi:type="dcterms:W3CDTF">2016-08-08T14:51:39Z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-1851088817</vt:i4>
  </property>
  <property fmtid="{D5CDD505-2E9C-101B-9397-08002B2CF9AE}" pid="3" name="_NewReviewCycle">
    <vt:lpwstr/>
  </property>
  <property fmtid="{D5CDD505-2E9C-101B-9397-08002B2CF9AE}" pid="4" name="_EmailSubject">
    <vt:lpwstr>Revised Preconditioning</vt:lpwstr>
  </property>
  <property fmtid="{D5CDD505-2E9C-101B-9397-08002B2CF9AE}" pid="5" name="_AuthorEmail">
    <vt:lpwstr>kevin.hill@merck.com</vt:lpwstr>
  </property>
  <property fmtid="{D5CDD505-2E9C-101B-9397-08002B2CF9AE}" pid="6" name="_AuthorEmailDisplayName">
    <vt:lpwstr>Hill, Kevin</vt:lpwstr>
  </property>
  <property fmtid="{D5CDD505-2E9C-101B-9397-08002B2CF9AE}" pid="7" name="docIndexRef">
    <vt:lpwstr>5e3f2168-06b1-48e6-9a73-0998c83a3d11</vt:lpwstr>
  </property>
  <property fmtid="{D5CDD505-2E9C-101B-9397-08002B2CF9AE}" pid="8" name="bjSaver">
    <vt:lpwstr>AQ2H+ZRN1BPoopx75V7xCivkQDJl3DnR</vt:lpwstr>
  </property>
  <property fmtid="{D5CDD505-2E9C-101B-9397-08002B2CF9AE}" pid="9"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10" name="bjDocumentLabelXML-0">
    <vt:lpwstr>nternal/label"&gt;&lt;element uid="id_classification_eurestricted" value="" /&gt;&lt;element uid="cefbaa69-3bfa-4b56-8d22-6839cb7b06d0" value="" /&gt;&lt;/sisl&gt;</vt:lpwstr>
  </property>
  <property fmtid="{D5CDD505-2E9C-101B-9397-08002B2CF9AE}" pid="11" name="bjDocumentSecurityLabel">
    <vt:lpwstr>Public</vt:lpwstr>
  </property>
  <property fmtid="{D5CDD505-2E9C-101B-9397-08002B2CF9AE}" pid="12" name="MerckMetadataExchange">
    <vt:lpwstr>!$MRK@Public-Footer-Left</vt:lpwstr>
  </property>
  <property fmtid="{D5CDD505-2E9C-101B-9397-08002B2CF9AE}" pid="13" name="bjLeftFooterLabel">
    <vt:lpwstr>&amp;"Times New Roman,Regular"&amp;12&amp;K00C000Public</vt:lpwstr>
  </property>
  <property fmtid="{D5CDD505-2E9C-101B-9397-08002B2CF9AE}" pid="14" name="_PreviousAdHocReviewCycleID">
    <vt:i4>-927099198</vt:i4>
  </property>
  <property fmtid="{D5CDD505-2E9C-101B-9397-08002B2CF9AE}" pid="15" name="_ReviewingToolsShownOnce">
    <vt:lpwstr/>
  </property>
</Properties>
</file>