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_000\Desktop\Documents\Ag. Eco Software Section K Preconditioning 2-11-2016\"/>
    </mc:Choice>
  </mc:AlternateContent>
  <bookViews>
    <workbookView xWindow="120" yWindow="257" windowWidth="12120" windowHeight="8940" tabRatio="996"/>
  </bookViews>
  <sheets>
    <sheet name="Pickup &amp; Trailer Cost" sheetId="16" r:id="rId1"/>
  </sheets>
  <definedNames>
    <definedName name="_xlnm.Print_Area" localSheetId="0">'Pickup &amp; Trailer Cost'!$B$1:$G$76</definedName>
  </definedNames>
  <calcPr calcId="152511"/>
</workbook>
</file>

<file path=xl/calcChain.xml><?xml version="1.0" encoding="utf-8"?>
<calcChain xmlns="http://schemas.openxmlformats.org/spreadsheetml/2006/main">
  <c r="E74" i="16" l="1"/>
  <c r="E71" i="16"/>
  <c r="E72" i="16" s="1"/>
  <c r="K57" i="16"/>
  <c r="G54" i="16"/>
  <c r="M57" i="16" s="1"/>
  <c r="F37" i="16"/>
  <c r="E37" i="16"/>
  <c r="E36" i="16"/>
  <c r="F35" i="16"/>
  <c r="E35" i="16"/>
  <c r="F34" i="16"/>
  <c r="E34" i="16"/>
  <c r="F29" i="16"/>
  <c r="E29" i="16"/>
  <c r="F28" i="16"/>
  <c r="E28" i="16"/>
  <c r="E27" i="16"/>
  <c r="F15" i="16"/>
  <c r="F36" i="16" s="1"/>
  <c r="F14" i="16"/>
  <c r="F27" i="16" s="1"/>
  <c r="G37" i="16" l="1"/>
  <c r="F31" i="16"/>
  <c r="F32" i="16" s="1"/>
  <c r="F46" i="16" s="1"/>
  <c r="F45" i="16" s="1"/>
  <c r="G35" i="16"/>
  <c r="G29" i="16"/>
  <c r="G28" i="16"/>
  <c r="E39" i="16"/>
  <c r="E40" i="16" s="1"/>
  <c r="E31" i="16"/>
  <c r="E32" i="16" s="1"/>
  <c r="F39" i="16"/>
  <c r="F40" i="16" s="1"/>
  <c r="F43" i="16" s="1"/>
  <c r="G36" i="16"/>
  <c r="E75" i="16"/>
  <c r="E76" i="16" s="1"/>
  <c r="G34" i="16"/>
  <c r="G27" i="16"/>
  <c r="E42" i="16" l="1"/>
  <c r="E43" i="16"/>
  <c r="G43" i="16" s="1"/>
  <c r="E46" i="16"/>
  <c r="G46" i="16" s="1"/>
  <c r="F42" i="16"/>
  <c r="G31" i="16"/>
  <c r="E61" i="16" s="1"/>
  <c r="G32" i="16"/>
  <c r="G39" i="16"/>
  <c r="E62" i="16" s="1"/>
  <c r="G40" i="16"/>
  <c r="E45" i="16" l="1"/>
  <c r="G45" i="16" s="1"/>
  <c r="E66" i="16" s="1"/>
  <c r="G42" i="16"/>
  <c r="E63" i="16"/>
  <c r="F65" i="16" s="1"/>
  <c r="G65" i="16" l="1"/>
  <c r="E65" i="16"/>
  <c r="E67" i="16" s="1"/>
  <c r="K54" i="16" l="1"/>
  <c r="J59" i="16" s="1"/>
  <c r="E57" i="16" l="1"/>
  <c r="K59" i="16"/>
  <c r="F62" i="16" l="1"/>
  <c r="F61" i="16"/>
  <c r="F66" i="16"/>
  <c r="G66" i="16" s="1"/>
  <c r="F63" i="16" l="1"/>
  <c r="G63" i="16" s="1"/>
</calcChain>
</file>

<file path=xl/sharedStrings.xml><?xml version="1.0" encoding="utf-8"?>
<sst xmlns="http://schemas.openxmlformats.org/spreadsheetml/2006/main" count="181" uniqueCount="117">
  <si>
    <t>Head</t>
  </si>
  <si>
    <t>Payweight</t>
  </si>
  <si>
    <t>-</t>
  </si>
  <si>
    <t>Description</t>
  </si>
  <si>
    <t>Input Data</t>
  </si>
  <si>
    <t>Current Value</t>
  </si>
  <si>
    <t>Total Miles Used (useful life)</t>
  </si>
  <si>
    <t>Current Mileage</t>
  </si>
  <si>
    <t>Salvage Value (trade or junk)</t>
  </si>
  <si>
    <t>Annual Miles of Use</t>
  </si>
  <si>
    <t>Fuel Use (miles per gallon)</t>
  </si>
  <si>
    <t>Cost of Fuel</t>
  </si>
  <si>
    <t>Interest Rate on Capital</t>
  </si>
  <si>
    <t>Monthly Loan Payments (if made)</t>
  </si>
  <si>
    <t>Annual License &amp; Tax</t>
  </si>
  <si>
    <t>Annual Insurance Cost</t>
  </si>
  <si>
    <t>Tire Cost (per set)</t>
  </si>
  <si>
    <t>Tire Life in Miles</t>
  </si>
  <si>
    <t>Annual Repair &amp; Maintenance Cost</t>
  </si>
  <si>
    <t>Per Mile and Annual Costs</t>
  </si>
  <si>
    <t>Cost Components</t>
  </si>
  <si>
    <t>Operating or Variable Cost</t>
  </si>
  <si>
    <t xml:space="preserve">    Fuel</t>
  </si>
  <si>
    <t xml:space="preserve">    Tires</t>
  </si>
  <si>
    <t xml:space="preserve">    Repair &amp; Maintenance</t>
  </si>
  <si>
    <t>Total Operating or Variable Cost</t>
  </si>
  <si>
    <t>Annual Operating or Variable Cost</t>
  </si>
  <si>
    <t>Fixed Costs</t>
  </si>
  <si>
    <t xml:space="preserve">   License / Tax</t>
  </si>
  <si>
    <t xml:space="preserve">   Insurance</t>
  </si>
  <si>
    <t xml:space="preserve">   Interest (non-cash)</t>
  </si>
  <si>
    <t xml:space="preserve">   Depreciation</t>
  </si>
  <si>
    <t>Total Fixed Cost</t>
  </si>
  <si>
    <t>Total Annual Fixed Cost</t>
  </si>
  <si>
    <t>Total Cost per Mile</t>
  </si>
  <si>
    <t>Total Annual Cost</t>
  </si>
  <si>
    <t>Total Cash Costs per Mile *</t>
  </si>
  <si>
    <t>Total Cash Costs *</t>
  </si>
  <si>
    <t>*Includes loan payment if being made.</t>
  </si>
  <si>
    <t>Total Driver Labor Required</t>
  </si>
  <si>
    <t>Driver Labor Cost per Hour</t>
  </si>
  <si>
    <t>Total Additional Labor Required</t>
  </si>
  <si>
    <t>Additional Labor Cost / Hour</t>
  </si>
  <si>
    <t>Total Number Hauled per Trip</t>
  </si>
  <si>
    <t>Total Variable Cost</t>
  </si>
  <si>
    <t>Units</t>
  </si>
  <si>
    <t xml:space="preserve"> -------</t>
  </si>
  <si>
    <t>$</t>
  </si>
  <si>
    <t>Mile</t>
  </si>
  <si>
    <t>Gal.</t>
  </si>
  <si>
    <t>$/Gal.</t>
  </si>
  <si>
    <t>%</t>
  </si>
  <si>
    <t>$/Mi.</t>
  </si>
  <si>
    <t>Miles</t>
  </si>
  <si>
    <t>Hr.</t>
  </si>
  <si>
    <t>$/Hr.</t>
  </si>
  <si>
    <t>Pickup</t>
  </si>
  <si>
    <t>Values</t>
  </si>
  <si>
    <t xml:space="preserve"> ------------------</t>
  </si>
  <si>
    <t xml:space="preserve"> -----------------</t>
  </si>
  <si>
    <t xml:space="preserve"> -----------</t>
  </si>
  <si>
    <t>Value</t>
  </si>
  <si>
    <t xml:space="preserve"> -------------------</t>
  </si>
  <si>
    <t>Per Trip</t>
  </si>
  <si>
    <t xml:space="preserve">Date </t>
  </si>
  <si>
    <t>Trailer</t>
  </si>
  <si>
    <t>Load Weight</t>
  </si>
  <si>
    <t xml:space="preserve">Per Head </t>
  </si>
  <si>
    <t>Hauled</t>
  </si>
  <si>
    <t>Combined</t>
  </si>
  <si>
    <t>Lbs./Head</t>
  </si>
  <si>
    <t xml:space="preserve">       $/Cwt.</t>
  </si>
  <si>
    <t xml:space="preserve"> --------------</t>
  </si>
  <si>
    <t>Enter zero if not pulling trailer</t>
  </si>
  <si>
    <t>Decision aid uses mileage with trailer if the trailer is included.</t>
  </si>
  <si>
    <t>PICKUP AND TRAILER COST ANALYSIS</t>
  </si>
  <si>
    <t>Pickup and Trailer - 21x7 Feet</t>
  </si>
  <si>
    <t>=</t>
  </si>
  <si>
    <t>Calculated Cost For a Trip Owned  Truck and Trailer</t>
  </si>
  <si>
    <t>Cattle Wt./Hd</t>
  </si>
  <si>
    <t>Based on gross weight.</t>
  </si>
  <si>
    <t xml:space="preserve">Head </t>
  </si>
  <si>
    <t>Total Wt.</t>
  </si>
  <si>
    <t>Estimated Trailer Load - Lbs. Load</t>
  </si>
  <si>
    <t>Dimension</t>
  </si>
  <si>
    <t>Lbs. maximum</t>
  </si>
  <si>
    <t>Maximum Hd.</t>
  </si>
  <si>
    <t>Total Cost of Load if Loaded</t>
  </si>
  <si>
    <t>Cost per loader mile</t>
  </si>
  <si>
    <t>Loaded miles - one way</t>
  </si>
  <si>
    <t>**Assumes driver and additional labor is a cash cost.</t>
  </si>
  <si>
    <t>__________________________________________________________________________________________________________</t>
  </si>
  <si>
    <t xml:space="preserve">Cattle Hired Freight Cost Calculator </t>
  </si>
  <si>
    <t>Hired Freight</t>
  </si>
  <si>
    <t>Total Load Cost</t>
  </si>
  <si>
    <t>Paid Miles Hauled</t>
  </si>
  <si>
    <t>$/Cwt. Cost</t>
  </si>
  <si>
    <t>Cost per loaded mile</t>
  </si>
  <si>
    <t>Pounds load</t>
  </si>
  <si>
    <t>Weight per Head In</t>
  </si>
  <si>
    <t xml:space="preserve">Hd./Load </t>
  </si>
  <si>
    <t>Per Head of Cattle</t>
  </si>
  <si>
    <t xml:space="preserve">  $/Head</t>
  </si>
  <si>
    <t>Per Cwt. of Net Wt.</t>
  </si>
  <si>
    <t xml:space="preserve">  $/Cwt.</t>
  </si>
  <si>
    <t>Total Cost per Mile (Round Trip)</t>
  </si>
  <si>
    <t>Per Trip Mile</t>
  </si>
  <si>
    <t>Based on net delivered weight after shrink</t>
  </si>
  <si>
    <t>Shrink %</t>
  </si>
  <si>
    <t>Average payweight</t>
  </si>
  <si>
    <t>Before shrink</t>
  </si>
  <si>
    <t>% Use Capacity</t>
  </si>
  <si>
    <t>Total Miles Traveled for Round Trip</t>
  </si>
  <si>
    <t>Per Loaded Mile</t>
  </si>
  <si>
    <t>To compare to hired freight.</t>
  </si>
  <si>
    <t>Total Cash Cost**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</si>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</sst>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00_);\(&quot;$&quot;#,##0.000\)"/>
    <numFmt numFmtId="168" formatCode="0.0"/>
    <numFmt numFmtId="169" formatCode="&quot;$&quot;#,##0.000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sz val="12"/>
      <color indexed="39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12"/>
      <color indexed="8"/>
      <name val="Arial"/>
      <family val="2"/>
    </font>
    <font>
      <sz val="14"/>
      <color indexed="3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2" fontId="2" fillId="2" borderId="0"/>
  </cellStyleXfs>
  <cellXfs count="80">
    <xf numFmtId="0" fontId="0" fillId="0" borderId="0" xfId="0"/>
    <xf numFmtId="0" fontId="4" fillId="0" borderId="0" xfId="0" applyFont="1"/>
    <xf numFmtId="0" fontId="6" fillId="0" borderId="0" xfId="0" applyFont="1"/>
    <xf numFmtId="2" fontId="2" fillId="0" borderId="0" xfId="4" applyNumberFormat="1" applyFill="1" applyProtection="1"/>
    <xf numFmtId="2" fontId="2" fillId="0" borderId="0" xfId="4" applyNumberFormat="1" applyFont="1" applyFill="1" applyAlignment="1" applyProtection="1">
      <alignment horizontal="right"/>
    </xf>
    <xf numFmtId="2" fontId="2" fillId="0" borderId="0" xfId="4" applyNumberFormat="1" applyFill="1" applyAlignment="1" applyProtection="1">
      <alignment horizontal="center"/>
    </xf>
    <xf numFmtId="2" fontId="4" fillId="0" borderId="0" xfId="4" applyNumberFormat="1" applyFont="1" applyFill="1" applyAlignment="1" applyProtection="1">
      <alignment horizontal="center"/>
    </xf>
    <xf numFmtId="2" fontId="2" fillId="0" borderId="0" xfId="4" applyNumberFormat="1" applyFill="1" applyAlignment="1" applyProtection="1">
      <alignment horizontal="fill"/>
    </xf>
    <xf numFmtId="2" fontId="2" fillId="0" borderId="0" xfId="4" applyNumberFormat="1" applyFont="1" applyFill="1" applyAlignment="1" applyProtection="1">
      <alignment horizontal="center"/>
    </xf>
    <xf numFmtId="2" fontId="2" fillId="0" borderId="0" xfId="4" applyNumberFormat="1" applyFont="1" applyFill="1" applyProtection="1"/>
    <xf numFmtId="166" fontId="5" fillId="0" borderId="7" xfId="4" applyNumberFormat="1" applyFont="1" applyFill="1" applyBorder="1" applyProtection="1">
      <protection locked="0"/>
    </xf>
    <xf numFmtId="3" fontId="5" fillId="0" borderId="7" xfId="4" applyNumberFormat="1" applyFont="1" applyFill="1" applyBorder="1" applyProtection="1">
      <protection locked="0"/>
    </xf>
    <xf numFmtId="165" fontId="5" fillId="0" borderId="7" xfId="4" applyNumberFormat="1" applyFont="1" applyFill="1" applyBorder="1" applyProtection="1">
      <protection locked="0"/>
    </xf>
    <xf numFmtId="165" fontId="2" fillId="0" borderId="7" xfId="4" applyNumberFormat="1" applyFill="1" applyBorder="1" applyProtection="1"/>
    <xf numFmtId="4" fontId="5" fillId="0" borderId="7" xfId="4" applyNumberFormat="1" applyFont="1" applyFill="1" applyBorder="1" applyProtection="1">
      <protection locked="0"/>
    </xf>
    <xf numFmtId="4" fontId="2" fillId="0" borderId="7" xfId="4" applyNumberFormat="1" applyFill="1" applyBorder="1" applyProtection="1"/>
    <xf numFmtId="2" fontId="4" fillId="0" borderId="0" xfId="4" applyNumberFormat="1" applyFont="1" applyFill="1" applyProtection="1"/>
    <xf numFmtId="167" fontId="2" fillId="0" borderId="0" xfId="4" applyNumberFormat="1" applyFill="1" applyProtection="1"/>
    <xf numFmtId="2" fontId="2" fillId="0" borderId="0" xfId="4" applyNumberFormat="1" applyFill="1" applyAlignment="1" applyProtection="1">
      <alignment horizontal="right"/>
    </xf>
    <xf numFmtId="7" fontId="2" fillId="0" borderId="0" xfId="4" applyNumberFormat="1" applyFill="1" applyProtection="1"/>
    <xf numFmtId="7" fontId="4" fillId="0" borderId="0" xfId="4" applyNumberFormat="1" applyFont="1" applyFill="1" applyProtection="1"/>
    <xf numFmtId="5" fontId="2" fillId="0" borderId="0" xfId="4" applyNumberFormat="1" applyFill="1" applyProtection="1"/>
    <xf numFmtId="2" fontId="8" fillId="0" borderId="0" xfId="4" applyNumberFormat="1" applyFont="1" applyFill="1" applyProtection="1"/>
    <xf numFmtId="2" fontId="4" fillId="3" borderId="0" xfId="4" applyNumberFormat="1" applyFont="1" applyFill="1" applyProtection="1"/>
    <xf numFmtId="2" fontId="4" fillId="3" borderId="0" xfId="4" applyNumberFormat="1" applyFont="1" applyFill="1" applyAlignment="1" applyProtection="1">
      <alignment horizontal="center"/>
    </xf>
    <xf numFmtId="7" fontId="4" fillId="3" borderId="0" xfId="4" applyNumberFormat="1" applyFont="1" applyFill="1" applyProtection="1"/>
    <xf numFmtId="7" fontId="6" fillId="0" borderId="0" xfId="4" applyNumberFormat="1" applyFont="1" applyFill="1" applyProtection="1"/>
    <xf numFmtId="164" fontId="7" fillId="0" borderId="2" xfId="1" applyNumberFormat="1" applyFont="1" applyBorder="1" applyAlignment="1" applyProtection="1">
      <alignment horizontal="right"/>
      <protection locked="0"/>
    </xf>
    <xf numFmtId="0" fontId="2" fillId="0" borderId="0" xfId="0" applyFont="1"/>
    <xf numFmtId="164" fontId="2" fillId="0" borderId="0" xfId="1" applyNumberFormat="1" applyFont="1" applyFill="1" applyProtection="1"/>
    <xf numFmtId="3" fontId="2" fillId="0" borderId="0" xfId="4" applyNumberFormat="1" applyFont="1" applyFill="1" applyBorder="1" applyProtection="1"/>
    <xf numFmtId="164" fontId="2" fillId="0" borderId="0" xfId="1" applyNumberFormat="1" applyFont="1"/>
    <xf numFmtId="0" fontId="1" fillId="0" borderId="0" xfId="0" applyFont="1"/>
    <xf numFmtId="164" fontId="7" fillId="0" borderId="2" xfId="1" applyNumberFormat="1" applyFont="1" applyFill="1" applyBorder="1" applyProtection="1">
      <protection locked="0"/>
    </xf>
    <xf numFmtId="168" fontId="4" fillId="0" borderId="0" xfId="0" applyNumberFormat="1" applyFont="1"/>
    <xf numFmtId="7" fontId="0" fillId="0" borderId="0" xfId="0" applyNumberFormat="1"/>
    <xf numFmtId="165" fontId="4" fillId="3" borderId="0" xfId="4" applyNumberFormat="1" applyFont="1" applyFill="1" applyProtection="1"/>
    <xf numFmtId="2" fontId="6" fillId="3" borderId="0" xfId="4" applyNumberFormat="1" applyFont="1" applyFill="1" applyAlignment="1" applyProtection="1">
      <alignment horizontal="center"/>
    </xf>
    <xf numFmtId="7" fontId="12" fillId="3" borderId="0" xfId="4" applyNumberFormat="1" applyFont="1" applyFill="1" applyProtection="1"/>
    <xf numFmtId="165" fontId="13" fillId="3" borderId="0" xfId="0" applyNumberFormat="1" applyFont="1" applyFill="1"/>
    <xf numFmtId="165" fontId="6" fillId="3" borderId="0" xfId="0" applyNumberFormat="1" applyFont="1" applyFill="1"/>
    <xf numFmtId="165" fontId="4" fillId="0" borderId="0" xfId="4" applyNumberFormat="1" applyFont="1" applyFill="1" applyProtection="1"/>
    <xf numFmtId="2" fontId="1" fillId="0" borderId="0" xfId="4" applyNumberFormat="1" applyFont="1" applyFill="1" applyProtection="1"/>
    <xf numFmtId="0" fontId="4" fillId="0" borderId="0" xfId="2" applyFont="1" applyFill="1" applyBorder="1"/>
    <xf numFmtId="0" fontId="4" fillId="0" borderId="0" xfId="0" applyFont="1" applyBorder="1"/>
    <xf numFmtId="8" fontId="4" fillId="0" borderId="0" xfId="2" applyNumberFormat="1" applyFont="1" applyBorder="1" applyAlignment="1" applyProtection="1">
      <alignment horizontal="right"/>
    </xf>
    <xf numFmtId="0" fontId="3" fillId="0" borderId="0" xfId="2" applyFont="1" applyBorder="1" applyAlignment="1">
      <alignment horizontal="left"/>
    </xf>
    <xf numFmtId="0" fontId="8" fillId="0" borderId="0" xfId="2" applyFont="1" applyBorder="1" applyProtection="1"/>
    <xf numFmtId="8" fontId="4" fillId="0" borderId="0" xfId="2" applyNumberFormat="1" applyFont="1" applyBorder="1" applyProtection="1"/>
    <xf numFmtId="0" fontId="8" fillId="0" borderId="0" xfId="0" applyFont="1" applyBorder="1"/>
    <xf numFmtId="8" fontId="2" fillId="0" borderId="0" xfId="2" applyNumberFormat="1" applyFont="1" applyBorder="1" applyProtection="1"/>
    <xf numFmtId="0" fontId="8" fillId="0" borderId="0" xfId="2" applyFont="1" applyBorder="1" applyAlignment="1" applyProtection="1">
      <alignment horizontal="left"/>
    </xf>
    <xf numFmtId="0" fontId="9" fillId="0" borderId="0" xfId="2" applyFont="1" applyBorder="1" applyProtection="1"/>
    <xf numFmtId="1" fontId="2" fillId="0" borderId="0" xfId="2" applyNumberFormat="1" applyFont="1" applyBorder="1" applyProtection="1"/>
    <xf numFmtId="168" fontId="2" fillId="0" borderId="0" xfId="0" applyNumberFormat="1" applyFont="1"/>
    <xf numFmtId="0" fontId="4" fillId="3" borderId="0" xfId="0" applyFont="1" applyFill="1" applyBorder="1"/>
    <xf numFmtId="8" fontId="13" fillId="3" borderId="0" xfId="2" applyNumberFormat="1" applyFont="1" applyFill="1" applyBorder="1" applyProtection="1"/>
    <xf numFmtId="0" fontId="4" fillId="3" borderId="0" xfId="0" applyFont="1" applyFill="1" applyAlignment="1">
      <alignment horizontal="center"/>
    </xf>
    <xf numFmtId="169" fontId="0" fillId="0" borderId="0" xfId="0" applyNumberFormat="1"/>
    <xf numFmtId="0" fontId="4" fillId="0" borderId="0" xfId="0" applyFont="1" applyFill="1" applyAlignment="1">
      <alignment horizontal="center"/>
    </xf>
    <xf numFmtId="0" fontId="9" fillId="0" borderId="0" xfId="2" applyFont="1" applyBorder="1" applyAlignment="1" applyProtection="1">
      <alignment horizontal="left"/>
    </xf>
    <xf numFmtId="165" fontId="15" fillId="0" borderId="2" xfId="0" applyNumberFormat="1" applyFont="1" applyBorder="1" applyProtection="1">
      <protection locked="0"/>
    </xf>
    <xf numFmtId="164" fontId="2" fillId="0" borderId="0" xfId="0" applyNumberFormat="1" applyFont="1"/>
    <xf numFmtId="9" fontId="2" fillId="0" borderId="0" xfId="3" applyFont="1"/>
    <xf numFmtId="164" fontId="2" fillId="0" borderId="3" xfId="1" applyNumberFormat="1" applyFont="1" applyBorder="1" applyAlignment="1" applyProtection="1">
      <alignment horizontal="right"/>
    </xf>
    <xf numFmtId="7" fontId="6" fillId="0" borderId="0" xfId="0" applyNumberFormat="1" applyFont="1"/>
    <xf numFmtId="15" fontId="7" fillId="0" borderId="0" xfId="4" applyNumberFormat="1" applyFont="1" applyFill="1" applyProtection="1">
      <protection locked="0"/>
    </xf>
    <xf numFmtId="2" fontId="2" fillId="0" borderId="0" xfId="4" applyNumberFormat="1" applyFill="1" applyAlignment="1" applyProtection="1">
      <protection locked="0"/>
    </xf>
    <xf numFmtId="0" fontId="0" fillId="0" borderId="0" xfId="0" applyAlignment="1" applyProtection="1">
      <protection locked="0"/>
    </xf>
    <xf numFmtId="15" fontId="8" fillId="0" borderId="0" xfId="4" applyNumberFormat="1" applyFont="1" applyFill="1" applyProtection="1">
      <protection locked="0"/>
    </xf>
    <xf numFmtId="2" fontId="10" fillId="0" borderId="0" xfId="4" applyNumberFormat="1" applyFont="1" applyFill="1" applyAlignment="1" applyProtection="1">
      <alignment horizontal="center"/>
    </xf>
    <xf numFmtId="2" fontId="11" fillId="0" borderId="4" xfId="4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6" xfId="0" applyBorder="1" applyAlignment="1"/>
    <xf numFmtId="2" fontId="14" fillId="0" borderId="0" xfId="4" applyNumberFormat="1" applyFont="1" applyFill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0" xfId="4" applyNumberFormat="1" applyFill="1" applyAlignment="1" applyProtection="1">
      <protection locked="0"/>
    </xf>
    <xf numFmtId="0" fontId="0" fillId="0" borderId="0" xfId="0" applyAlignment="1" applyProtection="1">
      <protection locked="0"/>
    </xf>
  </cellXfs>
  <cellStyles count="5">
    <cellStyle name="Comma" xfId="1" builtinId="3"/>
    <cellStyle name="Normal" xfId="0" builtinId="0"/>
    <cellStyle name="Normal_Pickup Analysis" xfId="4"/>
    <cellStyle name="Normal_Sheet1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255815</xdr:colOff>
      <xdr:row>1</xdr:row>
      <xdr:rowOff>48983</xdr:rowOff>
    </xdr:from>
    <xdr:to>
      <xdr:col>1</xdr:col>
      <xdr:colOff>1768929</xdr:colOff>
      <xdr:row>3</xdr:row>
      <xdr:rowOff>5442</xdr:rowOff>
    </xdr:to>
    <xdr:pic>
      <xdr:nvPicPr>
        <xdr:cNvPr id="3" name="Picture 2" descr="TAMAg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8" y="272140"/>
          <a:ext cx="1513114" cy="33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topLeftCell="B1" zoomScaleNormal="100" workbookViewId="0">
      <selection activeCell="G3" sqref="G3"/>
    </sheetView>
  </sheetViews>
  <sheetFormatPr defaultRowHeight="12.45" x14ac:dyDescent="0.3"/>
  <cols>
    <col min="1" max="1" width="3.3046875" customWidth="1"/>
    <col min="2" max="2" width="39.23046875" customWidth="1"/>
    <col min="5" max="5" width="16.69140625" customWidth="1"/>
    <col min="6" max="6" width="16.84375" customWidth="1"/>
    <col min="7" max="7" width="13.84375" customWidth="1"/>
    <col min="8" max="8" width="4.4609375" customWidth="1"/>
    <col min="9" max="9" width="13.69140625" customWidth="1"/>
    <col min="10" max="10" width="10.84375" customWidth="1"/>
    <col min="11" max="11" width="13" customWidth="1"/>
  </cols>
  <sheetData>
    <row r="1" spans="2:10" ht="17.600000000000001" x14ac:dyDescent="0.4">
      <c r="B1" s="70" t="s">
        <v>75</v>
      </c>
      <c r="C1" s="70"/>
      <c r="D1" s="70"/>
      <c r="E1" s="70"/>
      <c r="F1" s="70"/>
      <c r="G1" s="70"/>
    </row>
    <row r="2" spans="2:10" ht="15" customHeight="1" x14ac:dyDescent="0.35">
      <c r="B2" s="78"/>
      <c r="C2" s="79"/>
      <c r="D2" s="79"/>
      <c r="E2" s="3"/>
      <c r="F2" s="28" t="s">
        <v>64</v>
      </c>
      <c r="G2" s="66">
        <v>42405</v>
      </c>
      <c r="I2" s="32" t="s">
        <v>116</v>
      </c>
      <c r="J2" s="69">
        <v>42349</v>
      </c>
    </row>
    <row r="3" spans="2:10" ht="15" customHeight="1" x14ac:dyDescent="0.35">
      <c r="B3" s="67"/>
      <c r="C3" s="68"/>
      <c r="D3" s="68"/>
      <c r="E3" s="3"/>
      <c r="F3" s="28"/>
      <c r="G3" s="66"/>
    </row>
    <row r="4" spans="2:10" ht="15" x14ac:dyDescent="0.35">
      <c r="B4" s="4" t="s">
        <v>3</v>
      </c>
      <c r="C4" s="71" t="s">
        <v>76</v>
      </c>
      <c r="D4" s="72"/>
      <c r="E4" s="72"/>
      <c r="F4" s="73"/>
      <c r="G4" s="74"/>
    </row>
    <row r="5" spans="2:10" ht="15" x14ac:dyDescent="0.35">
      <c r="B5" s="3"/>
      <c r="C5" s="3"/>
      <c r="D5" s="3"/>
      <c r="E5" s="5" t="s">
        <v>56</v>
      </c>
      <c r="F5" s="5" t="s">
        <v>65</v>
      </c>
      <c r="G5" s="3"/>
    </row>
    <row r="6" spans="2:10" ht="15.45" x14ac:dyDescent="0.4">
      <c r="B6" s="6" t="s">
        <v>4</v>
      </c>
      <c r="C6" s="5" t="s">
        <v>45</v>
      </c>
      <c r="D6" s="3"/>
      <c r="E6" s="5" t="s">
        <v>57</v>
      </c>
      <c r="F6" s="5" t="s">
        <v>57</v>
      </c>
      <c r="G6" s="3"/>
    </row>
    <row r="7" spans="2:10" ht="15" x14ac:dyDescent="0.35">
      <c r="B7" s="7" t="s">
        <v>2</v>
      </c>
      <c r="C7" s="8" t="s">
        <v>46</v>
      </c>
      <c r="D7" s="3"/>
      <c r="E7" s="9" t="s">
        <v>58</v>
      </c>
      <c r="F7" s="9" t="s">
        <v>58</v>
      </c>
      <c r="G7" s="3"/>
    </row>
    <row r="8" spans="2:10" ht="15" x14ac:dyDescent="0.35">
      <c r="B8" s="3" t="s">
        <v>5</v>
      </c>
      <c r="C8" s="8" t="s">
        <v>47</v>
      </c>
      <c r="D8" s="3"/>
      <c r="E8" s="10">
        <v>45000</v>
      </c>
      <c r="F8" s="10">
        <v>10000</v>
      </c>
      <c r="G8" s="3"/>
      <c r="I8" t="s">
        <v>73</v>
      </c>
    </row>
    <row r="9" spans="2:10" ht="15" x14ac:dyDescent="0.35">
      <c r="B9" s="3" t="s">
        <v>6</v>
      </c>
      <c r="C9" s="5" t="s">
        <v>48</v>
      </c>
      <c r="D9" s="3"/>
      <c r="E9" s="11">
        <v>150000</v>
      </c>
      <c r="F9" s="11">
        <v>50000</v>
      </c>
      <c r="G9" s="3"/>
    </row>
    <row r="10" spans="2:10" ht="15" x14ac:dyDescent="0.35">
      <c r="B10" s="3" t="s">
        <v>7</v>
      </c>
      <c r="C10" s="5" t="s">
        <v>48</v>
      </c>
      <c r="D10" s="3"/>
      <c r="E10" s="11">
        <v>0</v>
      </c>
      <c r="F10" s="11">
        <v>0</v>
      </c>
      <c r="G10" s="3"/>
    </row>
    <row r="11" spans="2:10" ht="15" x14ac:dyDescent="0.35">
      <c r="B11" s="3" t="s">
        <v>8</v>
      </c>
      <c r="C11" s="5" t="s">
        <v>47</v>
      </c>
      <c r="D11" s="3"/>
      <c r="E11" s="10">
        <v>10000</v>
      </c>
      <c r="F11" s="10">
        <v>0</v>
      </c>
      <c r="G11" s="3"/>
    </row>
    <row r="12" spans="2:10" ht="15" x14ac:dyDescent="0.35">
      <c r="B12" s="3" t="s">
        <v>9</v>
      </c>
      <c r="C12" s="5" t="s">
        <v>48</v>
      </c>
      <c r="D12" s="3"/>
      <c r="E12" s="11">
        <v>40000</v>
      </c>
      <c r="F12" s="11">
        <v>1000</v>
      </c>
      <c r="G12" s="3"/>
    </row>
    <row r="13" spans="2:10" ht="15" x14ac:dyDescent="0.35">
      <c r="B13" s="3" t="s">
        <v>10</v>
      </c>
      <c r="C13" s="5" t="s">
        <v>49</v>
      </c>
      <c r="D13" s="3"/>
      <c r="E13" s="11">
        <v>12</v>
      </c>
      <c r="F13" s="11">
        <v>8</v>
      </c>
      <c r="G13" s="3"/>
      <c r="I13" t="s">
        <v>73</v>
      </c>
    </row>
    <row r="14" spans="2:10" ht="15" x14ac:dyDescent="0.35">
      <c r="B14" s="3" t="s">
        <v>11</v>
      </c>
      <c r="C14" s="5" t="s">
        <v>50</v>
      </c>
      <c r="D14" s="3"/>
      <c r="E14" s="12">
        <v>2</v>
      </c>
      <c r="F14" s="13">
        <f>E14</f>
        <v>2</v>
      </c>
      <c r="G14" s="3"/>
      <c r="I14" t="s">
        <v>74</v>
      </c>
    </row>
    <row r="15" spans="2:10" ht="15" x14ac:dyDescent="0.35">
      <c r="B15" s="3" t="s">
        <v>12</v>
      </c>
      <c r="C15" s="5" t="s">
        <v>51</v>
      </c>
      <c r="D15" s="3"/>
      <c r="E15" s="14">
        <v>5</v>
      </c>
      <c r="F15" s="15">
        <f>E15</f>
        <v>5</v>
      </c>
      <c r="G15" s="3"/>
    </row>
    <row r="16" spans="2:10" ht="15" x14ac:dyDescent="0.35">
      <c r="B16" s="3" t="s">
        <v>13</v>
      </c>
      <c r="C16" s="5" t="s">
        <v>47</v>
      </c>
      <c r="D16" s="3"/>
      <c r="E16" s="10">
        <v>0</v>
      </c>
      <c r="F16" s="10">
        <v>0</v>
      </c>
      <c r="G16" s="3"/>
    </row>
    <row r="17" spans="2:9" ht="15" x14ac:dyDescent="0.35">
      <c r="B17" s="3" t="s">
        <v>14</v>
      </c>
      <c r="C17" s="5" t="s">
        <v>47</v>
      </c>
      <c r="D17" s="3"/>
      <c r="E17" s="10">
        <v>100</v>
      </c>
      <c r="F17" s="10">
        <v>30</v>
      </c>
      <c r="G17" s="3"/>
      <c r="I17" t="s">
        <v>73</v>
      </c>
    </row>
    <row r="18" spans="2:9" ht="15" x14ac:dyDescent="0.35">
      <c r="B18" s="9" t="s">
        <v>15</v>
      </c>
      <c r="C18" s="5" t="s">
        <v>47</v>
      </c>
      <c r="D18" s="3"/>
      <c r="E18" s="10">
        <v>360</v>
      </c>
      <c r="F18" s="10">
        <v>50</v>
      </c>
      <c r="G18" s="3"/>
      <c r="I18" t="s">
        <v>73</v>
      </c>
    </row>
    <row r="19" spans="2:9" ht="15" x14ac:dyDescent="0.35">
      <c r="B19" s="3" t="s">
        <v>16</v>
      </c>
      <c r="C19" s="5" t="s">
        <v>47</v>
      </c>
      <c r="D19" s="3"/>
      <c r="E19" s="10">
        <v>800</v>
      </c>
      <c r="F19" s="10">
        <v>200</v>
      </c>
      <c r="G19" s="3"/>
      <c r="I19" t="s">
        <v>73</v>
      </c>
    </row>
    <row r="20" spans="2:9" ht="15" x14ac:dyDescent="0.35">
      <c r="B20" s="3" t="s">
        <v>17</v>
      </c>
      <c r="C20" s="5" t="s">
        <v>48</v>
      </c>
      <c r="D20" s="3"/>
      <c r="E20" s="11">
        <v>40000</v>
      </c>
      <c r="F20" s="11">
        <v>20000</v>
      </c>
      <c r="G20" s="3"/>
    </row>
    <row r="21" spans="2:9" ht="15" x14ac:dyDescent="0.35">
      <c r="B21" s="9" t="s">
        <v>18</v>
      </c>
      <c r="C21" s="5" t="s">
        <v>47</v>
      </c>
      <c r="D21" s="3"/>
      <c r="E21" s="10">
        <v>1000</v>
      </c>
      <c r="F21" s="10">
        <v>100</v>
      </c>
      <c r="G21" s="3"/>
      <c r="I21" t="s">
        <v>73</v>
      </c>
    </row>
    <row r="22" spans="2:9" ht="15" x14ac:dyDescent="0.35">
      <c r="B22" s="7" t="s">
        <v>77</v>
      </c>
      <c r="C22" s="7"/>
      <c r="D22" s="7"/>
      <c r="E22" s="7"/>
      <c r="F22" s="7"/>
      <c r="G22" s="7"/>
    </row>
    <row r="23" spans="2:9" ht="15.45" x14ac:dyDescent="0.4">
      <c r="B23" s="75" t="s">
        <v>19</v>
      </c>
      <c r="C23" s="75"/>
      <c r="D23" s="75"/>
      <c r="E23" s="75"/>
      <c r="F23" s="75"/>
      <c r="G23" s="75"/>
    </row>
    <row r="24" spans="2:9" ht="15.45" x14ac:dyDescent="0.4">
      <c r="B24" s="6" t="s">
        <v>20</v>
      </c>
      <c r="C24" s="5" t="s">
        <v>45</v>
      </c>
      <c r="D24" s="3"/>
      <c r="E24" s="6" t="s">
        <v>56</v>
      </c>
      <c r="F24" s="6" t="s">
        <v>65</v>
      </c>
      <c r="G24" s="6" t="s">
        <v>69</v>
      </c>
    </row>
    <row r="25" spans="2:9" ht="15" x14ac:dyDescent="0.35">
      <c r="B25" s="7" t="s">
        <v>2</v>
      </c>
      <c r="C25" s="8" t="s">
        <v>46</v>
      </c>
      <c r="D25" s="3"/>
      <c r="E25" s="9" t="s">
        <v>59</v>
      </c>
      <c r="F25" s="9" t="s">
        <v>59</v>
      </c>
      <c r="G25" s="9" t="s">
        <v>59</v>
      </c>
    </row>
    <row r="26" spans="2:9" ht="15.45" x14ac:dyDescent="0.4">
      <c r="B26" s="16" t="s">
        <v>21</v>
      </c>
      <c r="C26" s="5"/>
      <c r="D26" s="3"/>
      <c r="E26" s="3"/>
      <c r="F26" s="3"/>
      <c r="G26" s="3"/>
    </row>
    <row r="27" spans="2:9" ht="15" x14ac:dyDescent="0.35">
      <c r="B27" s="3" t="s">
        <v>22</v>
      </c>
      <c r="C27" s="8" t="s">
        <v>52</v>
      </c>
      <c r="D27" s="3"/>
      <c r="E27" s="17">
        <f>IF(E13=0,0,E14/E13)</f>
        <v>0.16666666666666666</v>
      </c>
      <c r="F27" s="17">
        <f>IF(F13=0,0,F14/F13)</f>
        <v>0.25</v>
      </c>
      <c r="G27" s="17">
        <f>IF(F8=0,E27,F27)</f>
        <v>0.25</v>
      </c>
    </row>
    <row r="28" spans="2:9" ht="15" x14ac:dyDescent="0.35">
      <c r="B28" s="3" t="s">
        <v>23</v>
      </c>
      <c r="C28" s="8" t="s">
        <v>52</v>
      </c>
      <c r="D28" s="3"/>
      <c r="E28" s="17">
        <f>IF(E20=0,0,E19/E20)</f>
        <v>0.02</v>
      </c>
      <c r="F28" s="17">
        <f>IF(F20=0,0,F19/F20)</f>
        <v>0.01</v>
      </c>
      <c r="G28" s="17">
        <f>(E28+F28)</f>
        <v>0.03</v>
      </c>
    </row>
    <row r="29" spans="2:9" ht="15" x14ac:dyDescent="0.35">
      <c r="B29" s="3" t="s">
        <v>24</v>
      </c>
      <c r="C29" s="8" t="s">
        <v>52</v>
      </c>
      <c r="D29" s="3"/>
      <c r="E29" s="17">
        <f>IF(E12=0,0,E21/E12)</f>
        <v>2.5000000000000001E-2</v>
      </c>
      <c r="F29" s="17">
        <f>IF(F12=0,0,F21/F12)</f>
        <v>0.1</v>
      </c>
      <c r="G29" s="17">
        <f>(E29+F29)</f>
        <v>0.125</v>
      </c>
    </row>
    <row r="30" spans="2:9" ht="15" x14ac:dyDescent="0.35">
      <c r="B30" s="3"/>
      <c r="C30" s="5"/>
      <c r="D30" s="3"/>
      <c r="E30" s="18" t="s">
        <v>60</v>
      </c>
      <c r="F30" s="18" t="s">
        <v>60</v>
      </c>
      <c r="G30" s="18" t="s">
        <v>60</v>
      </c>
    </row>
    <row r="31" spans="2:9" ht="15.45" x14ac:dyDescent="0.4">
      <c r="B31" s="9" t="s">
        <v>25</v>
      </c>
      <c r="C31" s="8" t="s">
        <v>52</v>
      </c>
      <c r="D31" s="3"/>
      <c r="E31" s="19">
        <f>SUM(E27:E29)</f>
        <v>0.21166666666666664</v>
      </c>
      <c r="F31" s="19">
        <f>SUM(F27:F29)</f>
        <v>0.36</v>
      </c>
      <c r="G31" s="20">
        <f>SUM(G27:G29)</f>
        <v>0.40500000000000003</v>
      </c>
    </row>
    <row r="32" spans="2:9" ht="15" x14ac:dyDescent="0.35">
      <c r="B32" s="9" t="s">
        <v>26</v>
      </c>
      <c r="C32" s="5" t="s">
        <v>47</v>
      </c>
      <c r="D32" s="3"/>
      <c r="E32" s="21">
        <f>(E31*E12)</f>
        <v>8466.6666666666661</v>
      </c>
      <c r="F32" s="21">
        <f>(F31*F12)</f>
        <v>360</v>
      </c>
      <c r="G32" s="21">
        <f>(E32+F32)</f>
        <v>8826.6666666666661</v>
      </c>
    </row>
    <row r="33" spans="2:7" ht="15.45" x14ac:dyDescent="0.4">
      <c r="B33" s="16" t="s">
        <v>27</v>
      </c>
      <c r="C33" s="5"/>
      <c r="D33" s="3"/>
      <c r="E33" s="3"/>
      <c r="F33" s="3"/>
      <c r="G33" s="3"/>
    </row>
    <row r="34" spans="2:7" ht="15" x14ac:dyDescent="0.35">
      <c r="B34" s="3" t="s">
        <v>28</v>
      </c>
      <c r="C34" s="8" t="s">
        <v>52</v>
      </c>
      <c r="D34" s="3"/>
      <c r="E34" s="17">
        <f>IF(E12=0,0,E17/E12)</f>
        <v>2.5000000000000001E-3</v>
      </c>
      <c r="F34" s="17">
        <f>IF(F12=0,0,F17/F12)</f>
        <v>0.03</v>
      </c>
      <c r="G34" s="17">
        <f>(E34+F34)</f>
        <v>3.2500000000000001E-2</v>
      </c>
    </row>
    <row r="35" spans="2:7" ht="15" x14ac:dyDescent="0.35">
      <c r="B35" s="3" t="s">
        <v>29</v>
      </c>
      <c r="C35" s="8" t="s">
        <v>52</v>
      </c>
      <c r="D35" s="3"/>
      <c r="E35" s="17">
        <f>IF(E12=0,0,E18/E12)</f>
        <v>8.9999999999999993E-3</v>
      </c>
      <c r="F35" s="17">
        <f>IF(F12=0,0,F18/F12)</f>
        <v>0.05</v>
      </c>
      <c r="G35" s="17">
        <f>(E35+F35)</f>
        <v>5.9000000000000004E-2</v>
      </c>
    </row>
    <row r="36" spans="2:7" ht="15" x14ac:dyDescent="0.35">
      <c r="B36" s="3" t="s">
        <v>30</v>
      </c>
      <c r="C36" s="8" t="s">
        <v>52</v>
      </c>
      <c r="D36" s="3"/>
      <c r="E36" s="17">
        <f>IF(E12=0,0,(E8-(((E8-E11)*(E12/(E9-E10))/2)))*E15*0.01/E12)</f>
        <v>5.0416666666666672E-2</v>
      </c>
      <c r="F36" s="17">
        <f>IF(F12=0,0,(F8-(((F8-F11)*(F12/(F9-F10))/2)))*F15*0.01/F12)</f>
        <v>0.495</v>
      </c>
      <c r="G36" s="17">
        <f>(E36+F36)</f>
        <v>0.54541666666666666</v>
      </c>
    </row>
    <row r="37" spans="2:7" ht="15" x14ac:dyDescent="0.35">
      <c r="B37" s="3" t="s">
        <v>31</v>
      </c>
      <c r="C37" s="8" t="s">
        <v>52</v>
      </c>
      <c r="D37" s="3"/>
      <c r="E37" s="17">
        <f>IF(E12=0,0,((E8-E11)*E12/(E9-E10))/E12)</f>
        <v>0.23333333333333334</v>
      </c>
      <c r="F37" s="17">
        <f>IF(F12=0,0,((F8-F11)*F12/(F9-F10))/F12)</f>
        <v>0.2</v>
      </c>
      <c r="G37" s="17">
        <f>(E37+F37)</f>
        <v>0.43333333333333335</v>
      </c>
    </row>
    <row r="38" spans="2:7" ht="15" x14ac:dyDescent="0.35">
      <c r="B38" s="3"/>
      <c r="C38" s="5"/>
      <c r="D38" s="3"/>
      <c r="E38" s="18" t="s">
        <v>60</v>
      </c>
      <c r="F38" s="18" t="s">
        <v>60</v>
      </c>
      <c r="G38" s="18" t="s">
        <v>60</v>
      </c>
    </row>
    <row r="39" spans="2:7" ht="15.45" x14ac:dyDescent="0.4">
      <c r="B39" s="3" t="s">
        <v>32</v>
      </c>
      <c r="C39" s="8" t="s">
        <v>52</v>
      </c>
      <c r="D39" s="3"/>
      <c r="E39" s="19">
        <f>SUM(E34:E37)</f>
        <v>0.29525000000000001</v>
      </c>
      <c r="F39" s="19">
        <f>SUM(F34:F37)</f>
        <v>0.77499999999999991</v>
      </c>
      <c r="G39" s="20">
        <f>SUM(G34:G37)</f>
        <v>1.0702500000000001</v>
      </c>
    </row>
    <row r="40" spans="2:7" ht="15" x14ac:dyDescent="0.35">
      <c r="B40" s="3" t="s">
        <v>33</v>
      </c>
      <c r="C40" s="5" t="s">
        <v>47</v>
      </c>
      <c r="D40" s="3"/>
      <c r="E40" s="21">
        <f>(E39*E12)</f>
        <v>11810</v>
      </c>
      <c r="F40" s="21">
        <f>(F39*F12)</f>
        <v>774.99999999999989</v>
      </c>
      <c r="G40" s="21">
        <f>(E40+F40)</f>
        <v>12585</v>
      </c>
    </row>
    <row r="41" spans="2:7" ht="15" x14ac:dyDescent="0.35">
      <c r="B41" s="3"/>
      <c r="C41" s="5"/>
      <c r="D41" s="3"/>
      <c r="E41" s="3"/>
      <c r="F41" s="3"/>
      <c r="G41" s="3"/>
    </row>
    <row r="42" spans="2:7" ht="15.45" x14ac:dyDescent="0.4">
      <c r="B42" s="23" t="s">
        <v>34</v>
      </c>
      <c r="C42" s="24" t="s">
        <v>52</v>
      </c>
      <c r="D42" s="23"/>
      <c r="E42" s="25">
        <f>IF(E12=0,0,((E32+E40)/E12))</f>
        <v>0.50691666666666657</v>
      </c>
      <c r="F42" s="25">
        <f>IF(F12=0,0,((F32+F40)/F12))</f>
        <v>1.135</v>
      </c>
      <c r="G42" s="25">
        <f>(G31+G39)</f>
        <v>1.4752500000000002</v>
      </c>
    </row>
    <row r="43" spans="2:7" ht="15" x14ac:dyDescent="0.35">
      <c r="B43" s="3" t="s">
        <v>35</v>
      </c>
      <c r="C43" s="5" t="s">
        <v>47</v>
      </c>
      <c r="D43" s="3"/>
      <c r="E43" s="21">
        <f>(E32+E40)</f>
        <v>20276.666666666664</v>
      </c>
      <c r="F43" s="21">
        <f>(F32+F40)</f>
        <v>1135</v>
      </c>
      <c r="G43" s="21">
        <f>(E43+F43)</f>
        <v>21411.666666666664</v>
      </c>
    </row>
    <row r="44" spans="2:7" ht="15" x14ac:dyDescent="0.35">
      <c r="B44" s="7" t="s">
        <v>2</v>
      </c>
      <c r="C44" s="7"/>
      <c r="D44" s="7"/>
      <c r="E44" s="7"/>
      <c r="F44" s="7"/>
      <c r="G44" s="7"/>
    </row>
    <row r="45" spans="2:7" ht="17.600000000000001" x14ac:dyDescent="0.4">
      <c r="B45" s="16" t="s">
        <v>36</v>
      </c>
      <c r="C45" s="6" t="s">
        <v>52</v>
      </c>
      <c r="D45" s="16"/>
      <c r="E45" s="20">
        <f>IF(E12=0,0,E46/E12)</f>
        <v>0.22316666666666665</v>
      </c>
      <c r="F45" s="20">
        <f>IF(F12=0,0,F46/F12)</f>
        <v>0.44</v>
      </c>
      <c r="G45" s="26">
        <f>(E45+F45)</f>
        <v>0.66316666666666668</v>
      </c>
    </row>
    <row r="46" spans="2:7" ht="15" x14ac:dyDescent="0.35">
      <c r="B46" s="3" t="s">
        <v>37</v>
      </c>
      <c r="C46" s="5" t="s">
        <v>47</v>
      </c>
      <c r="D46" s="3"/>
      <c r="E46" s="21">
        <f>(E32+E16*12+E17+E18)</f>
        <v>8926.6666666666661</v>
      </c>
      <c r="F46" s="21">
        <f>(F32+F16*12+F17+F18)</f>
        <v>440</v>
      </c>
      <c r="G46" s="21">
        <f>(E46+F46)</f>
        <v>9366.6666666666661</v>
      </c>
    </row>
    <row r="47" spans="2:7" ht="15" x14ac:dyDescent="0.35">
      <c r="B47" s="22" t="s">
        <v>38</v>
      </c>
      <c r="C47" s="3"/>
      <c r="D47" s="3"/>
      <c r="E47" s="3"/>
      <c r="F47" s="3"/>
      <c r="G47" s="3"/>
    </row>
    <row r="48" spans="2:7" ht="15" x14ac:dyDescent="0.35">
      <c r="B48" s="7" t="s">
        <v>77</v>
      </c>
      <c r="C48" s="7"/>
      <c r="D48" s="7"/>
      <c r="E48" s="7"/>
      <c r="F48" s="7"/>
      <c r="G48" s="7"/>
    </row>
    <row r="49" spans="1:13" ht="17.600000000000001" x14ac:dyDescent="0.4">
      <c r="B49" s="70" t="s">
        <v>78</v>
      </c>
      <c r="C49" s="70"/>
      <c r="D49" s="70"/>
      <c r="E49" s="70"/>
      <c r="F49" s="70"/>
      <c r="G49" s="70"/>
    </row>
    <row r="50" spans="1:13" ht="15" x14ac:dyDescent="0.35">
      <c r="B50" s="8" t="s">
        <v>4</v>
      </c>
      <c r="C50" s="5" t="s">
        <v>45</v>
      </c>
      <c r="D50" s="3"/>
      <c r="E50" s="5" t="s">
        <v>61</v>
      </c>
      <c r="F50" s="3"/>
      <c r="G50" s="3"/>
    </row>
    <row r="51" spans="1:13" ht="15.45" x14ac:dyDescent="0.4">
      <c r="B51" s="7" t="s">
        <v>2</v>
      </c>
      <c r="C51" s="8" t="s">
        <v>46</v>
      </c>
      <c r="D51" s="3"/>
      <c r="E51" s="4" t="s">
        <v>62</v>
      </c>
      <c r="F51" s="16"/>
      <c r="G51" s="3" t="s">
        <v>1</v>
      </c>
    </row>
    <row r="52" spans="1:13" ht="15.45" x14ac:dyDescent="0.4">
      <c r="B52" s="3" t="s">
        <v>112</v>
      </c>
      <c r="C52" s="5" t="s">
        <v>53</v>
      </c>
      <c r="D52" s="3"/>
      <c r="E52" s="27">
        <v>100</v>
      </c>
      <c r="F52" s="16" t="s">
        <v>79</v>
      </c>
      <c r="G52" s="27">
        <v>500</v>
      </c>
      <c r="I52" s="28" t="s">
        <v>107</v>
      </c>
    </row>
    <row r="53" spans="1:13" ht="15" x14ac:dyDescent="0.35">
      <c r="B53" s="3" t="s">
        <v>39</v>
      </c>
      <c r="C53" s="5" t="s">
        <v>54</v>
      </c>
      <c r="D53" s="3"/>
      <c r="E53" s="27">
        <v>4</v>
      </c>
      <c r="F53" s="3" t="s">
        <v>81</v>
      </c>
      <c r="G53" s="27">
        <v>18</v>
      </c>
      <c r="I53" s="27">
        <v>500</v>
      </c>
      <c r="J53" s="28" t="s">
        <v>109</v>
      </c>
    </row>
    <row r="54" spans="1:13" ht="15" x14ac:dyDescent="0.35">
      <c r="B54" s="3" t="s">
        <v>40</v>
      </c>
      <c r="C54" s="8" t="s">
        <v>55</v>
      </c>
      <c r="D54" s="3"/>
      <c r="E54" s="12">
        <v>15</v>
      </c>
      <c r="F54" s="3" t="s">
        <v>82</v>
      </c>
      <c r="G54" s="29">
        <f>G52*G53</f>
        <v>9000</v>
      </c>
      <c r="I54" s="28" t="s">
        <v>108</v>
      </c>
      <c r="J54" s="27">
        <v>3</v>
      </c>
      <c r="K54" s="62">
        <f>(I53/((100-J54)*0.01))</f>
        <v>515.46391752577324</v>
      </c>
    </row>
    <row r="55" spans="1:13" ht="15.45" x14ac:dyDescent="0.4">
      <c r="B55" s="9" t="s">
        <v>41</v>
      </c>
      <c r="C55" s="5" t="s">
        <v>54</v>
      </c>
      <c r="D55" s="3"/>
      <c r="E55" s="11">
        <v>0</v>
      </c>
      <c r="F55" s="3"/>
      <c r="G55" s="3"/>
      <c r="I55" s="1" t="s">
        <v>83</v>
      </c>
    </row>
    <row r="56" spans="1:13" ht="15.45" x14ac:dyDescent="0.4">
      <c r="B56" s="3" t="s">
        <v>42</v>
      </c>
      <c r="C56" s="8" t="s">
        <v>55</v>
      </c>
      <c r="D56" s="3"/>
      <c r="E56" s="12">
        <v>0</v>
      </c>
      <c r="I56" s="76" t="s">
        <v>84</v>
      </c>
      <c r="J56" s="77"/>
      <c r="K56" s="1" t="s">
        <v>85</v>
      </c>
      <c r="M56" s="28" t="s">
        <v>111</v>
      </c>
    </row>
    <row r="57" spans="1:13" ht="15" x14ac:dyDescent="0.35">
      <c r="B57" s="3" t="s">
        <v>43</v>
      </c>
      <c r="C57" s="5" t="s">
        <v>0</v>
      </c>
      <c r="D57" s="3"/>
      <c r="E57" s="30">
        <f>I59/J59</f>
        <v>21.34</v>
      </c>
      <c r="I57" s="27">
        <v>21</v>
      </c>
      <c r="J57" s="27">
        <v>7</v>
      </c>
      <c r="K57" s="31">
        <f>I57*J57*77</f>
        <v>11319</v>
      </c>
      <c r="M57" s="63">
        <f>G54/K57</f>
        <v>0.79512324410283597</v>
      </c>
    </row>
    <row r="58" spans="1:13" ht="15.45" x14ac:dyDescent="0.4">
      <c r="B58" s="3"/>
      <c r="C58" s="3"/>
      <c r="D58" s="3"/>
      <c r="E58" s="8"/>
      <c r="F58" s="6" t="s">
        <v>67</v>
      </c>
      <c r="G58" s="3"/>
      <c r="I58" s="3" t="s">
        <v>66</v>
      </c>
      <c r="J58" s="3" t="s">
        <v>70</v>
      </c>
      <c r="K58" s="1" t="s">
        <v>86</v>
      </c>
    </row>
    <row r="59" spans="1:13" ht="15.45" x14ac:dyDescent="0.4">
      <c r="B59" s="8" t="s">
        <v>20</v>
      </c>
      <c r="C59" s="5" t="s">
        <v>45</v>
      </c>
      <c r="D59" s="3"/>
      <c r="E59" s="8" t="s">
        <v>63</v>
      </c>
      <c r="F59" s="6" t="s">
        <v>68</v>
      </c>
      <c r="G59" s="16" t="s">
        <v>71</v>
      </c>
      <c r="H59" s="32"/>
      <c r="I59" s="33">
        <v>11000</v>
      </c>
      <c r="J59" s="64">
        <f>IF(K54=0,0,K54)</f>
        <v>515.46391752577324</v>
      </c>
      <c r="K59" s="34">
        <f>I59/J59</f>
        <v>21.34</v>
      </c>
      <c r="M59" s="28" t="s">
        <v>110</v>
      </c>
    </row>
    <row r="60" spans="1:13" ht="15" x14ac:dyDescent="0.35">
      <c r="B60" s="7" t="s">
        <v>2</v>
      </c>
      <c r="C60" s="8" t="s">
        <v>46</v>
      </c>
      <c r="D60" s="3"/>
      <c r="E60" s="9" t="s">
        <v>59</v>
      </c>
      <c r="F60" s="9" t="s">
        <v>59</v>
      </c>
      <c r="G60" s="9" t="s">
        <v>72</v>
      </c>
      <c r="H60" s="32"/>
    </row>
    <row r="61" spans="1:13" ht="15" x14ac:dyDescent="0.35">
      <c r="B61" s="3" t="s">
        <v>44</v>
      </c>
      <c r="C61" s="5" t="s">
        <v>47</v>
      </c>
      <c r="D61" s="3"/>
      <c r="E61" s="19">
        <f>(G31*E52+E53*E54+E55*E56)</f>
        <v>100.5</v>
      </c>
      <c r="F61" s="19">
        <f>IF(E57=0,0,E61/E57)</f>
        <v>4.7094657919400191</v>
      </c>
      <c r="G61" s="3"/>
      <c r="H61" s="35"/>
    </row>
    <row r="62" spans="1:13" ht="15" x14ac:dyDescent="0.35">
      <c r="B62" s="3" t="s">
        <v>32</v>
      </c>
      <c r="C62" s="5" t="s">
        <v>47</v>
      </c>
      <c r="D62" s="3"/>
      <c r="E62" s="19">
        <f>(G39*E52)</f>
        <v>107.02500000000002</v>
      </c>
      <c r="F62" s="19">
        <f>IF(E57=0,0,E62/E57)</f>
        <v>5.0152296157450804</v>
      </c>
      <c r="H62" s="35"/>
    </row>
    <row r="63" spans="1:13" ht="15.45" x14ac:dyDescent="0.4">
      <c r="A63" s="1"/>
      <c r="B63" s="23" t="s">
        <v>87</v>
      </c>
      <c r="C63" s="24" t="s">
        <v>47</v>
      </c>
      <c r="D63" s="23"/>
      <c r="E63" s="25">
        <f>SUM(E61:E62)</f>
        <v>207.52500000000003</v>
      </c>
      <c r="F63" s="25">
        <f>SUM(F61:F62)</f>
        <v>9.7246954076851004</v>
      </c>
      <c r="G63" s="36">
        <f>IF(J59=0,0,(F63/$J$59)*100)</f>
        <v>1.8865909090909092</v>
      </c>
    </row>
    <row r="64" spans="1:13" ht="15.45" x14ac:dyDescent="0.4">
      <c r="A64" s="1"/>
      <c r="E64" s="8" t="s">
        <v>106</v>
      </c>
    </row>
    <row r="65" spans="1:9" ht="21.45" x14ac:dyDescent="0.65">
      <c r="B65" s="23" t="s">
        <v>105</v>
      </c>
      <c r="C65" s="37" t="s">
        <v>47</v>
      </c>
      <c r="D65" s="23"/>
      <c r="E65" s="38">
        <f>IF(E52=0,0,E63/E52)</f>
        <v>2.0752500000000005</v>
      </c>
      <c r="F65" s="39">
        <f>IF(G53=0,0,E63/G53)</f>
        <v>11.529166666666669</v>
      </c>
      <c r="G65" s="40">
        <f>F65/G52*100</f>
        <v>2.3058333333333336</v>
      </c>
      <c r="I65" s="28" t="s">
        <v>80</v>
      </c>
    </row>
    <row r="66" spans="1:9" ht="15.45" x14ac:dyDescent="0.4">
      <c r="A66" s="1"/>
      <c r="B66" s="16" t="s">
        <v>115</v>
      </c>
      <c r="C66" s="6" t="s">
        <v>47</v>
      </c>
      <c r="D66" s="16"/>
      <c r="E66" s="20">
        <f>(G45*E52+E53*E54+E55*E56)</f>
        <v>126.31666666666666</v>
      </c>
      <c r="F66" s="20">
        <f>IF(E57=0,0,E66/E57)</f>
        <v>5.9192439862542958</v>
      </c>
      <c r="G66" s="41">
        <f>(F66/$J$59)*100</f>
        <v>1.1483333333333334</v>
      </c>
      <c r="H66" s="35"/>
      <c r="I66" s="1" t="s">
        <v>88</v>
      </c>
    </row>
    <row r="67" spans="1:9" ht="17.600000000000001" x14ac:dyDescent="0.4">
      <c r="A67" s="1"/>
      <c r="B67" s="3" t="s">
        <v>113</v>
      </c>
      <c r="C67" s="5" t="s">
        <v>47</v>
      </c>
      <c r="D67" s="19"/>
      <c r="E67" s="65">
        <f>E65*2</f>
        <v>4.150500000000001</v>
      </c>
      <c r="F67" s="19" t="s">
        <v>114</v>
      </c>
      <c r="G67" s="3"/>
      <c r="H67" s="35"/>
      <c r="I67" s="28" t="s">
        <v>89</v>
      </c>
    </row>
    <row r="68" spans="1:9" ht="15" x14ac:dyDescent="0.35">
      <c r="B68" s="42" t="s">
        <v>90</v>
      </c>
      <c r="C68" s="3"/>
      <c r="D68" s="3"/>
      <c r="E68" s="3"/>
      <c r="F68" s="3"/>
      <c r="G68" s="3"/>
    </row>
    <row r="69" spans="1:9" ht="15" x14ac:dyDescent="0.35">
      <c r="B69" s="42" t="s">
        <v>91</v>
      </c>
      <c r="C69" s="3"/>
      <c r="D69" s="3"/>
      <c r="E69" s="3"/>
      <c r="F69" s="3"/>
      <c r="G69" s="3"/>
    </row>
    <row r="70" spans="1:9" ht="15.45" x14ac:dyDescent="0.4">
      <c r="B70" s="43" t="s">
        <v>92</v>
      </c>
      <c r="C70" s="3"/>
      <c r="D70" s="3"/>
      <c r="E70" s="3"/>
      <c r="F70" s="3"/>
      <c r="I70" s="28"/>
    </row>
    <row r="71" spans="1:9" ht="15.45" x14ac:dyDescent="0.4">
      <c r="B71" s="44" t="s">
        <v>93</v>
      </c>
      <c r="E71" s="45">
        <f>C72*C73</f>
        <v>300</v>
      </c>
      <c r="F71" s="46" t="s">
        <v>94</v>
      </c>
    </row>
    <row r="72" spans="1:9" ht="15.45" x14ac:dyDescent="0.4">
      <c r="B72" s="47" t="s">
        <v>95</v>
      </c>
      <c r="C72" s="27">
        <v>100</v>
      </c>
      <c r="E72" s="48">
        <f>E71/E73*100</f>
        <v>0.61224489795918369</v>
      </c>
      <c r="F72" s="49" t="s">
        <v>96</v>
      </c>
      <c r="G72" s="50"/>
    </row>
    <row r="73" spans="1:9" ht="17.600000000000001" x14ac:dyDescent="0.4">
      <c r="B73" s="60" t="s">
        <v>97</v>
      </c>
      <c r="C73" s="61">
        <v>3</v>
      </c>
      <c r="E73" s="27">
        <v>49000</v>
      </c>
      <c r="F73" s="51" t="s">
        <v>98</v>
      </c>
      <c r="G73" s="1"/>
    </row>
    <row r="74" spans="1:9" ht="15" x14ac:dyDescent="0.35">
      <c r="B74" s="52" t="s">
        <v>99</v>
      </c>
      <c r="C74" s="27">
        <v>500</v>
      </c>
      <c r="E74" s="53">
        <f>E73/C74</f>
        <v>98</v>
      </c>
      <c r="F74" s="47" t="s">
        <v>100</v>
      </c>
      <c r="G74" s="54"/>
      <c r="I74" s="28" t="s">
        <v>80</v>
      </c>
    </row>
    <row r="75" spans="1:9" ht="18.899999999999999" x14ac:dyDescent="0.65">
      <c r="B75" s="55" t="s">
        <v>101</v>
      </c>
      <c r="E75" s="56">
        <f>IF(E74=0,0,E71/E74)</f>
        <v>3.0612244897959182</v>
      </c>
      <c r="F75" s="57" t="s">
        <v>102</v>
      </c>
      <c r="H75" s="58"/>
    </row>
    <row r="76" spans="1:9" ht="17.600000000000001" x14ac:dyDescent="0.4">
      <c r="B76" s="2" t="s">
        <v>103</v>
      </c>
      <c r="E76" s="40">
        <f>IF(C74=0,0,E75/C74*100)</f>
        <v>0.61224489795918369</v>
      </c>
      <c r="F76" s="59" t="s">
        <v>104</v>
      </c>
      <c r="H76" s="58"/>
      <c r="I76" s="28"/>
    </row>
  </sheetData>
  <sheetProtection sheet="1" objects="1" scenarios="1"/>
  <mergeCells count="6">
    <mergeCell ref="B1:G1"/>
    <mergeCell ref="C4:G4"/>
    <mergeCell ref="B23:G23"/>
    <mergeCell ref="B49:G49"/>
    <mergeCell ref="I56:J56"/>
    <mergeCell ref="B2:D2"/>
  </mergeCells>
  <pageMargins left="0.7" right="0.7" top="0.75" bottom="0.75" header="0.3" footer="0.3"/>
  <pageSetup scale="58" orientation="portrait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Pickup &amp; Trailer Cost</vt:lpstr>
      <vt:lpstr>'Pickup &amp; Trailer Cost'!Print_Area</vt:lpstr>
    </vt:vector>
  </TitlesOfParts>
  <Company>Agricultural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jim_000</cp:lastModifiedBy>
  <cp:lastPrinted>2015-10-04T12:20:39Z</cp:lastPrinted>
  <dcterms:created xsi:type="dcterms:W3CDTF">2002-09-28T11:27:20Z</dcterms:created>
  <dcterms:modified xsi:type="dcterms:W3CDTF">2016-02-11T16:52:12Z</dcterms:modified>
</cp:coreProperties>
</file>