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defaultThemeVersion="124226"/>
  <mc:AlternateContent xmlns:mc="http://schemas.openxmlformats.org/markup-compatibility/2006">
    <mc:Choice Requires="x15">
      <x15ac:absPath xmlns:x15ac="http://schemas.microsoft.com/office/spreadsheetml/2010/11/ac" url="C:\Users\jim\Documents\2016 TAMU Updates 8-5-2016\K. Preconditioning\"/>
    </mc:Choice>
  </mc:AlternateContent>
  <bookViews>
    <workbookView xWindow="0" yWindow="0" windowWidth="16457" windowHeight="5820" tabRatio="857"/>
  </bookViews>
  <sheets>
    <sheet name="1.Preconditioning Profitability" sheetId="5" r:id="rId1"/>
    <sheet name="2. Weigh-Price Slide Calculator" sheetId="8" r:id="rId2"/>
    <sheet name="3. Graph" sheetId="7" r:id="rId3"/>
    <sheet name="4. FeedCostCalculator" sheetId="6" r:id="rId4"/>
    <sheet name="5. Definitions" sheetId="3" r:id="rId5"/>
  </sheets>
  <definedNames>
    <definedName name="_xlnm.Print_Area" localSheetId="0">'1.Preconditioning Profitability'!$B$1:$G$58</definedName>
    <definedName name="_xlnm.Print_Area" localSheetId="1">'2. Weigh-Price Slide Calculator'!$B$2:$G$26</definedName>
    <definedName name="_xlnm.Print_Area" localSheetId="2">'3. Graph'!$B$1:$H$36</definedName>
    <definedName name="_xlnm.Print_Area" localSheetId="3">'4. FeedCostCalculator'!$B$2:$H$20</definedName>
    <definedName name="_xlnm.Print_Area" localSheetId="4">'5. Definitions'!$B$1:$B$57</definedName>
  </definedNames>
  <calcPr calcId="162913"/>
</workbook>
</file>

<file path=xl/calcChain.xml><?xml version="1.0" encoding="utf-8"?>
<calcChain xmlns="http://schemas.openxmlformats.org/spreadsheetml/2006/main">
  <c r="E14" i="8" l="1"/>
  <c r="G14" i="8"/>
  <c r="E13" i="8"/>
  <c r="E18" i="8" l="1"/>
  <c r="G18" i="8" s="1"/>
  <c r="E17" i="8"/>
  <c r="G17" i="8" s="1"/>
  <c r="G20" i="8"/>
  <c r="G19" i="8"/>
  <c r="I10" i="8"/>
  <c r="G10" i="8"/>
  <c r="D10" i="8"/>
  <c r="I9" i="8"/>
  <c r="G9" i="8"/>
  <c r="K10" i="8" s="1"/>
  <c r="H10" i="8" s="1"/>
  <c r="D9" i="8"/>
  <c r="I8" i="8"/>
  <c r="G8" i="8"/>
  <c r="D8" i="8"/>
  <c r="I7" i="8"/>
  <c r="G7" i="8"/>
  <c r="K8" i="8" s="1"/>
  <c r="H8" i="8" s="1"/>
  <c r="D7" i="8"/>
  <c r="K9" i="8" l="1"/>
  <c r="H9" i="8" s="1"/>
  <c r="C28" i="5"/>
  <c r="C27" i="5" l="1"/>
  <c r="C5" i="6" l="1"/>
  <c r="O16" i="6" l="1"/>
  <c r="N16" i="6" s="1"/>
  <c r="K16" i="6"/>
  <c r="L16" i="6" s="1"/>
  <c r="M16" i="6" s="1"/>
  <c r="E16" i="6"/>
  <c r="G16" i="6" s="1"/>
  <c r="H16" i="6" s="1"/>
  <c r="O15" i="6"/>
  <c r="N15" i="6" s="1"/>
  <c r="K15" i="6"/>
  <c r="L15" i="6" s="1"/>
  <c r="M15" i="6" s="1"/>
  <c r="E15" i="6"/>
  <c r="G15" i="6" s="1"/>
  <c r="H15" i="6" s="1"/>
  <c r="O14" i="6"/>
  <c r="N14" i="6" s="1"/>
  <c r="K14" i="6"/>
  <c r="L14" i="6" s="1"/>
  <c r="M14" i="6" s="1"/>
  <c r="E14" i="6"/>
  <c r="G14" i="6" s="1"/>
  <c r="H14" i="6" s="1"/>
  <c r="O13" i="6"/>
  <c r="N13" i="6" s="1"/>
  <c r="E13" i="6"/>
  <c r="K13" i="6" s="1"/>
  <c r="L13" i="6" s="1"/>
  <c r="M13" i="6" s="1"/>
  <c r="O12" i="6"/>
  <c r="N12" i="6" s="1"/>
  <c r="E12" i="6"/>
  <c r="K12" i="6" s="1"/>
  <c r="L12" i="6" s="1"/>
  <c r="M12" i="6" s="1"/>
  <c r="O11" i="6"/>
  <c r="N11" i="6" s="1"/>
  <c r="E11" i="6"/>
  <c r="G13" i="6" l="1"/>
  <c r="E18" i="6"/>
  <c r="G11" i="6"/>
  <c r="G18" i="6" s="1"/>
  <c r="G12" i="6"/>
  <c r="K11" i="6"/>
  <c r="L11" i="6" l="1"/>
  <c r="M11" i="6" s="1"/>
  <c r="M18" i="6" s="1"/>
  <c r="H13" i="6"/>
  <c r="H12" i="6"/>
  <c r="H11" i="6"/>
  <c r="F52" i="5" l="1"/>
  <c r="F17" i="5"/>
  <c r="F15" i="5"/>
  <c r="F12" i="5"/>
  <c r="C10" i="5"/>
  <c r="F7" i="5"/>
  <c r="E15" i="8" l="1"/>
  <c r="F26" i="5"/>
  <c r="D35" i="7" s="1"/>
  <c r="C6" i="6"/>
  <c r="D17" i="5"/>
  <c r="C23" i="5"/>
  <c r="C24" i="5" s="1"/>
  <c r="F19" i="5"/>
  <c r="F16" i="5"/>
  <c r="C26" i="5" l="1"/>
  <c r="G13" i="8"/>
  <c r="I13" i="8" s="1"/>
  <c r="L9" i="8"/>
  <c r="L10" i="8"/>
  <c r="E21" i="8"/>
  <c r="I19" i="8"/>
  <c r="L8" i="8"/>
  <c r="C18" i="6"/>
  <c r="L18" i="6"/>
  <c r="F18" i="6"/>
  <c r="D5" i="6"/>
  <c r="C39" i="5"/>
  <c r="D39" i="5" s="1"/>
  <c r="F21" i="5"/>
  <c r="C35" i="7" s="1"/>
  <c r="D34" i="5"/>
  <c r="D26" i="5"/>
  <c r="L12" i="8" l="1"/>
  <c r="E23" i="8" s="1"/>
  <c r="I20" i="8" s="1"/>
  <c r="I23" i="8" s="1"/>
  <c r="E25" i="8" s="1"/>
  <c r="G15" i="8"/>
  <c r="C20" i="6"/>
  <c r="E20" i="6"/>
  <c r="H6" i="6"/>
  <c r="I37" i="5"/>
  <c r="I24" i="5" s="1"/>
  <c r="D63" i="5"/>
  <c r="H5" i="6"/>
  <c r="H7" i="6" s="1"/>
  <c r="F5" i="6"/>
  <c r="M8" i="8" l="1"/>
  <c r="M10" i="8"/>
  <c r="L20" i="8"/>
  <c r="M9" i="8"/>
  <c r="G23" i="8"/>
  <c r="I15" i="8"/>
  <c r="C13" i="5"/>
  <c r="C14" i="5" s="1"/>
  <c r="C15" i="5" s="1"/>
  <c r="E6" i="6"/>
  <c r="F20" i="6"/>
  <c r="M12" i="8" l="1"/>
  <c r="G21" i="8" s="1"/>
  <c r="C29" i="5" s="1"/>
  <c r="C30" i="5" s="1"/>
  <c r="C32" i="5" s="1"/>
  <c r="D33" i="5" s="1"/>
  <c r="C61" i="5" s="1"/>
  <c r="D16" i="5"/>
  <c r="C18" i="5" s="1"/>
  <c r="C19" i="5" s="1"/>
  <c r="L19" i="8" l="1"/>
  <c r="L23" i="8" s="1"/>
  <c r="G25" i="8" s="1"/>
  <c r="B35" i="7"/>
  <c r="C44" i="5"/>
  <c r="F34" i="5" s="1"/>
  <c r="F37" i="5"/>
  <c r="C37" i="5"/>
  <c r="C40" i="5" s="1"/>
  <c r="F40" i="5" l="1"/>
  <c r="D40" i="5"/>
  <c r="C49" i="5"/>
  <c r="E35" i="7"/>
  <c r="G53" i="5"/>
  <c r="F35" i="5"/>
  <c r="I38" i="5" l="1"/>
  <c r="F49" i="5" s="1"/>
  <c r="F39" i="5"/>
  <c r="F45" i="5"/>
  <c r="F44" i="5"/>
  <c r="G40" i="5"/>
  <c r="G34" i="5" l="1"/>
  <c r="D65" i="5"/>
  <c r="F47" i="5"/>
  <c r="G37" i="5"/>
  <c r="G35" i="5"/>
  <c r="G19" i="5"/>
  <c r="F41" i="5"/>
  <c r="F35" i="7"/>
  <c r="G21" i="5"/>
  <c r="G39" i="5"/>
  <c r="G26" i="5"/>
  <c r="G16" i="5"/>
  <c r="G12" i="5"/>
  <c r="D36" i="7" l="1"/>
  <c r="E36" i="7"/>
  <c r="B36" i="7"/>
  <c r="C36" i="7"/>
  <c r="G41" i="5"/>
  <c r="C47" i="5"/>
  <c r="G47" i="5"/>
  <c r="C45" i="5"/>
  <c r="D61" i="5"/>
  <c r="C57" i="5"/>
  <c r="I36" i="5"/>
  <c r="F36" i="7" l="1"/>
  <c r="F53" i="5"/>
  <c r="F54" i="5" s="1"/>
  <c r="D62" i="5"/>
  <c r="D53" i="5" l="1"/>
  <c r="D64" i="5"/>
  <c r="D66" i="5" s="1"/>
</calcChain>
</file>

<file path=xl/sharedStrings.xml><?xml version="1.0" encoding="utf-8"?>
<sst xmlns="http://schemas.openxmlformats.org/spreadsheetml/2006/main" count="262" uniqueCount="227">
  <si>
    <t>of the total costs that include the unweaned calf.</t>
  </si>
  <si>
    <t>Check on percent of cost items.</t>
  </si>
  <si>
    <t>SUMMARY</t>
  </si>
  <si>
    <t>Annualized investment is weaned calf value plus 1/2 of non-cattle cost adjusted for days in preconditioning divided by 365.</t>
  </si>
  <si>
    <t>$/Head</t>
  </si>
  <si>
    <t>Includes labor and management for all activities - preweaning to preconditioned.</t>
  </si>
  <si>
    <t>Weaned Weight - Lbs.</t>
  </si>
  <si>
    <t>Marketing Cost - Commission %</t>
  </si>
  <si>
    <t>Freight &amp; Marketing Cost - Per Head</t>
  </si>
  <si>
    <t>Description of Vac.</t>
  </si>
  <si>
    <t xml:space="preserve">Non-cattle costs account for </t>
  </si>
  <si>
    <t>Payweight Minus Death Loss</t>
  </si>
  <si>
    <t>Direct Costs</t>
  </si>
  <si>
    <t>Indirect Costs</t>
  </si>
  <si>
    <t xml:space="preserve">  Net ADG</t>
  </si>
  <si>
    <t>Preconditioned Sale Value</t>
  </si>
  <si>
    <r>
      <t>Breakeven Cost</t>
    </r>
    <r>
      <rPr>
        <sz val="11"/>
        <rFont val="Times New Roman"/>
        <family val="1"/>
      </rPr>
      <t xml:space="preserve"> is a cost component divided by the amount of saleable product.  The costs included </t>
    </r>
    <r>
      <rPr>
        <b/>
        <sz val="11"/>
        <rFont val="Times New Roman"/>
        <family val="1"/>
      </rPr>
      <t xml:space="preserve">must be defined before </t>
    </r>
    <r>
      <rPr>
        <sz val="11"/>
        <rFont val="Times New Roman"/>
        <family val="1"/>
      </rPr>
      <t xml:space="preserve">a breakeven can provide useful information to a decision maker.  </t>
    </r>
    <r>
      <rPr>
        <b/>
        <sz val="11"/>
        <rFont val="Times New Roman"/>
        <family val="1"/>
      </rPr>
      <t>A break-even that does not cover full cost is very misleading.</t>
    </r>
    <r>
      <rPr>
        <sz val="11"/>
        <rFont val="Times New Roman"/>
        <family val="1"/>
      </rPr>
      <t xml:space="preserve">  Feedyards never calculate a “full cost” breakeven.  It is a feedyard direct cost  breakeven.  Producers must add to direct costs full cost of the feeder and the business’s general and administrative (G &amp; A) and finance costs. They must have </t>
    </r>
    <r>
      <rPr>
        <b/>
        <sz val="11"/>
        <rFont val="Times New Roman"/>
        <family val="1"/>
      </rPr>
      <t>total unit cost</t>
    </r>
    <r>
      <rPr>
        <sz val="11"/>
        <rFont val="Times New Roman"/>
        <family val="1"/>
      </rPr>
      <t xml:space="preserve"> to have a true measure of profitability. Having G&amp;A and actual interest cost will mean the stocker profitability and TUC is consistent with the total business income statement or profit and loss (P&amp;L) statement. </t>
    </r>
    <r>
      <rPr>
        <b/>
        <sz val="11"/>
        <rFont val="Times New Roman"/>
        <family val="1"/>
      </rPr>
      <t>If a business that only breakeven it will fail</t>
    </r>
    <r>
      <rPr>
        <sz val="11"/>
        <rFont val="Times New Roman"/>
        <family val="1"/>
      </rPr>
      <t>. Equity will not grow. All projections need to report conditions for a profit margin above TUC to insure profitable options are chosen.</t>
    </r>
  </si>
  <si>
    <r>
      <rPr>
        <b/>
        <sz val="11"/>
        <rFont val="Times New Roman"/>
        <family val="1"/>
      </rPr>
      <t xml:space="preserve">Indirect Costs or overhead </t>
    </r>
    <r>
      <rPr>
        <sz val="11"/>
        <rFont val="Times New Roman"/>
        <family val="1"/>
      </rPr>
      <t>are</t>
    </r>
    <r>
      <rPr>
        <b/>
        <sz val="11"/>
        <rFont val="Times New Roman"/>
        <family val="1"/>
      </rPr>
      <t xml:space="preserve"> </t>
    </r>
    <r>
      <rPr>
        <sz val="11"/>
        <rFont val="Times New Roman"/>
        <family val="1"/>
      </rPr>
      <t xml:space="preserve">costs that can’t be assigned directly to a production activity. Many indirect costs are fixed costs. Indirect costs continue irrespective of the level of production activities. Depreciation, repair and maintenance of vehicles, machinery and equipment, labor and management, property tax are examples of indirect costs. </t>
    </r>
    <r>
      <rPr>
        <b/>
        <sz val="11"/>
        <rFont val="Times New Roman"/>
        <family val="1"/>
      </rPr>
      <t xml:space="preserve">General and Administrative Cost (G&amp;A) are indirect </t>
    </r>
    <r>
      <rPr>
        <sz val="11"/>
        <rFont val="Times New Roman"/>
        <family val="1"/>
      </rPr>
      <t>costs that all businesses incur to cover bookkeeping, professional fees, insurance, office supplies, computer services, phone and utility costs and business travel. Administrative cost includes the salary and payroll for support personnel. Owner operator withdrawals are indirect costs. Often ignored is management time required for retained ownership activity. Retained ownership should pay part of business indirect costs. For feedyards one reason why it so important to keep pens fill is indirect costs go on they are fixed costs, whether the yard is fill or 25% empty. Meaning they go on even if cattle activities are reduced.</t>
    </r>
  </si>
  <si>
    <r>
      <rPr>
        <b/>
        <sz val="11"/>
        <rFont val="Times New Roman"/>
        <family val="1"/>
      </rPr>
      <t>Profitability</t>
    </r>
    <r>
      <rPr>
        <sz val="11"/>
        <rFont val="Times New Roman"/>
        <family val="1"/>
      </rPr>
      <t xml:space="preserve"> is the ability of the ranch production and marketing activity to generate income in excess of </t>
    </r>
    <r>
      <rPr>
        <b/>
        <sz val="11"/>
        <rFont val="Times New Roman"/>
        <family val="1"/>
      </rPr>
      <t>total unit costs</t>
    </r>
    <r>
      <rPr>
        <sz val="11"/>
        <rFont val="Times New Roman"/>
        <family val="1"/>
      </rPr>
      <t>.  Profit is the net to equity capital. A profitable business has equity growth reported in the income statement as net ranch accrual income and balance sheet equity as retained earnings and change in equity.</t>
    </r>
  </si>
  <si>
    <t>Include indirect or overhead costs see the definition sheet.</t>
  </si>
  <si>
    <t>__________________________________________________________________________________________________</t>
  </si>
  <si>
    <t>Net Payweight of Sale</t>
  </si>
  <si>
    <t xml:space="preserve"> Preweaning Vacc &amp; Worm</t>
  </si>
  <si>
    <t xml:space="preserve"> Weaning Vacc Boosters</t>
  </si>
  <si>
    <t xml:space="preserve"> Morbidity</t>
  </si>
  <si>
    <t xml:space="preserve"> Cost of Treatment</t>
  </si>
  <si>
    <t xml:space="preserve"> Treatment Cost/Hd.</t>
  </si>
  <si>
    <t xml:space="preserve"> Total Processing &amp; Vacc</t>
  </si>
  <si>
    <t xml:space="preserve"> Feed Cost per day</t>
  </si>
  <si>
    <t xml:space="preserve"> Total Feed Cost</t>
  </si>
  <si>
    <t xml:space="preserve"> Facilities &amp; Indirect /Day</t>
  </si>
  <si>
    <t xml:space="preserve"> Management &amp; Labor/Day</t>
  </si>
  <si>
    <t xml:space="preserve"> Interest Rate</t>
  </si>
  <si>
    <t>Total Finance Cost</t>
  </si>
  <si>
    <t xml:space="preserve">  Increase In Calf Value</t>
  </si>
  <si>
    <t xml:space="preserve">  Added Preconditioning Cost</t>
  </si>
  <si>
    <t>Return on Investment - ROI</t>
  </si>
  <si>
    <t>For Preconditioned Calf</t>
  </si>
  <si>
    <t xml:space="preserve"> Other Costs</t>
  </si>
  <si>
    <t>%</t>
  </si>
  <si>
    <t>Shrink if Sold at Weaning - %</t>
  </si>
  <si>
    <t xml:space="preserve">Profitability and Return on Investment (ROI) for Raised Calf Preconditioning </t>
  </si>
  <si>
    <t>Marketing Cost - Commission - %</t>
  </si>
  <si>
    <t>Sales Date</t>
  </si>
  <si>
    <t>Health &amp; Treatment Cost/Hd.</t>
  </si>
  <si>
    <t>Gain</t>
  </si>
  <si>
    <t>Sales Value</t>
  </si>
  <si>
    <t>ROI=(Profit +Interest)/Annualized Investment)</t>
  </si>
  <si>
    <t>Target Change Calculations</t>
  </si>
  <si>
    <t>Net Price</t>
  </si>
  <si>
    <t xml:space="preserve">     Change</t>
  </si>
  <si>
    <t>Change in Premium</t>
  </si>
  <si>
    <t>Net of Mortality Sales</t>
  </si>
  <si>
    <t xml:space="preserve">          Target's ROI</t>
  </si>
  <si>
    <t xml:space="preserve">                        Input Premium</t>
  </si>
  <si>
    <t xml:space="preserve">     ROI</t>
  </si>
  <si>
    <t>Target Profit Per Head &amp; ROI</t>
  </si>
  <si>
    <t xml:space="preserve">             Change in Premium</t>
  </si>
  <si>
    <t>Target's Premium</t>
  </si>
  <si>
    <t>Profit Plus Interest</t>
  </si>
  <si>
    <t xml:space="preserve">    $/Cwt.</t>
  </si>
  <si>
    <t>Preconditioned Market Price $/Cwt.</t>
  </si>
  <si>
    <t>$/Cwt.</t>
  </si>
  <si>
    <t>Market Price off the Cow $/Cwt.</t>
  </si>
  <si>
    <t>Net Price - $/Cwt.</t>
  </si>
  <si>
    <t xml:space="preserve">The key to profitability is the difference between unweaned versus preconditioned calf value. </t>
  </si>
  <si>
    <t>Value of Gain - $/Lb.</t>
  </si>
  <si>
    <t>Cost of Gain - $/Lb.</t>
  </si>
  <si>
    <t>Profit - per Head &amp; Cwt.</t>
  </si>
  <si>
    <t xml:space="preserve">Preconditioning Vac. 45 </t>
  </si>
  <si>
    <t>Days in the program</t>
  </si>
  <si>
    <t>Preconditioned</t>
  </si>
  <si>
    <t xml:space="preserve"> ADG Before Shrink </t>
  </si>
  <si>
    <t xml:space="preserve"> Gain - Lbs.</t>
  </si>
  <si>
    <t xml:space="preserve"> Actual Preconditioned Weight</t>
  </si>
  <si>
    <t xml:space="preserve"> Shrink When Sold Preconditioned</t>
  </si>
  <si>
    <t xml:space="preserve"> Days In Preconditioned</t>
  </si>
  <si>
    <t xml:space="preserve">                 Date of Analysis</t>
  </si>
  <si>
    <t>Total Direct Costs - $/Hd.</t>
  </si>
  <si>
    <t>Total Indirect Cost - $/Hd.</t>
  </si>
  <si>
    <t>Total Added Cost - $/Hd.</t>
  </si>
  <si>
    <t xml:space="preserve">         $/Cwt.</t>
  </si>
  <si>
    <t>Annualized Investment - $/Hd.</t>
  </si>
  <si>
    <t>Target Profit &amp; Price</t>
  </si>
  <si>
    <t xml:space="preserve">     $/Head</t>
  </si>
  <si>
    <t>Vac Premium  - $/Cwt.</t>
  </si>
  <si>
    <t>Profit - $/Head</t>
  </si>
  <si>
    <t>Net Value at Weaning - Unweaned</t>
  </si>
  <si>
    <t xml:space="preserve"> Net Value at Weaning - $/Hd.</t>
  </si>
  <si>
    <t>Net Value at Weaning - Unweaned Calf</t>
  </si>
  <si>
    <t>Total Unit Cost - TUC</t>
  </si>
  <si>
    <t>Preconditioning Mortality - %</t>
  </si>
  <si>
    <t>%   Net Gain</t>
  </si>
  <si>
    <t>Direct Cost of Gain</t>
  </si>
  <si>
    <t>% of TUC</t>
  </si>
  <si>
    <t>Weight</t>
  </si>
  <si>
    <t xml:space="preserve">Weaning and Sales Date </t>
  </si>
  <si>
    <t>Weaning Date Preconditioning Starts</t>
  </si>
  <si>
    <t>Target per Head Profit Check</t>
  </si>
  <si>
    <t>TUC</t>
  </si>
  <si>
    <t>Note the profitability of the preconditioning says nothing about the profitability of the cow-calf activity.</t>
  </si>
  <si>
    <t>Profit</t>
  </si>
  <si>
    <t>With Change</t>
  </si>
  <si>
    <t>Base Sales Price</t>
  </si>
  <si>
    <t>Base Sales Weight</t>
  </si>
  <si>
    <t>Finance</t>
  </si>
  <si>
    <t xml:space="preserve">Amount/Head </t>
  </si>
  <si>
    <t>Total</t>
  </si>
  <si>
    <t xml:space="preserve">% of </t>
  </si>
  <si>
    <t>Lb./DM.</t>
  </si>
  <si>
    <t xml:space="preserve">Feed Cost </t>
  </si>
  <si>
    <t>As Fed</t>
  </si>
  <si>
    <t xml:space="preserve">   Feed or Nutrition Cost</t>
  </si>
  <si>
    <t>Lbs./Fed/Day</t>
  </si>
  <si>
    <t>Days</t>
  </si>
  <si>
    <t xml:space="preserve"> Feed/Hd.</t>
  </si>
  <si>
    <t>Cost/Lb.</t>
  </si>
  <si>
    <t xml:space="preserve"> Cost/Hd. In</t>
  </si>
  <si>
    <t>Costs</t>
  </si>
  <si>
    <t>DM %</t>
  </si>
  <si>
    <t>Lb./Day</t>
  </si>
  <si>
    <t xml:space="preserve">    /Day</t>
  </si>
  <si>
    <t xml:space="preserve">      $/Ton</t>
  </si>
  <si>
    <t>Receiving ration with Decox Day 14</t>
  </si>
  <si>
    <t>Receiving ration with Decox Day 31</t>
  </si>
  <si>
    <t>Free Choice Quality Hay</t>
  </si>
  <si>
    <t xml:space="preserve">       Cost/Day</t>
  </si>
  <si>
    <t>Include veterinary services and consultation.</t>
  </si>
  <si>
    <t>Fed</t>
  </si>
  <si>
    <t>Total Lb. Fed</t>
  </si>
  <si>
    <t>Feed Use and Cost Calculator - Quantity and Cost</t>
  </si>
  <si>
    <t>In Weight</t>
  </si>
  <si>
    <t>Out Weight</t>
  </si>
  <si>
    <t>In and Out Weights</t>
  </si>
  <si>
    <t>Head Days Preconditioned</t>
  </si>
  <si>
    <t xml:space="preserve">  DM Consumption as % of Ave. Wt.</t>
  </si>
  <si>
    <t xml:space="preserve">     ADG</t>
  </si>
  <si>
    <t xml:space="preserve">          DM Fed Lb. Day</t>
  </si>
  <si>
    <r>
      <t xml:space="preserve"> Feed Use (DM</t>
    </r>
    <r>
      <rPr>
        <b/>
        <sz val="12"/>
        <rFont val="Arial"/>
        <family val="2"/>
      </rPr>
      <t>) &amp; Feed Cost</t>
    </r>
  </si>
  <si>
    <r>
      <t xml:space="preserve"> Feed Use (</t>
    </r>
    <r>
      <rPr>
        <b/>
        <sz val="10"/>
        <rFont val="Arial"/>
        <family val="2"/>
      </rPr>
      <t>as fed</t>
    </r>
    <r>
      <rPr>
        <b/>
        <sz val="12"/>
        <rFont val="Arial"/>
        <family val="2"/>
      </rPr>
      <t>) &amp; Feed Cost</t>
    </r>
  </si>
  <si>
    <t>Total DM Fed</t>
  </si>
  <si>
    <t xml:space="preserve">   Net Gain</t>
  </si>
  <si>
    <t>Before death loss adjustment.</t>
  </si>
  <si>
    <t>Ave. Wt./Hd.</t>
  </si>
  <si>
    <t>Average/Day</t>
  </si>
  <si>
    <t xml:space="preserve"> $/Ton DM</t>
  </si>
  <si>
    <t>Ave./Day</t>
  </si>
  <si>
    <t>Lb. Feed/Lb. Gain</t>
  </si>
  <si>
    <t xml:space="preserve">  Feed Efficiency</t>
  </si>
  <si>
    <t xml:space="preserve"> Preconditioned Payweight - Net ADG</t>
  </si>
  <si>
    <t xml:space="preserve">Price Change From Slide - $/Cwt. </t>
  </si>
  <si>
    <t xml:space="preserve">Preconditioned Net Sale/Cwt. Price </t>
  </si>
  <si>
    <t xml:space="preserve">Key Definitions Used In Preconditioning Evaluation* </t>
  </si>
  <si>
    <r>
      <t>Direct Expenses</t>
    </r>
    <r>
      <rPr>
        <sz val="11"/>
        <rFont val="Times New Roman"/>
        <family val="1"/>
      </rPr>
      <t xml:space="preserve"> are expense items that are directly related to production activity such as grazing, feed, custom yardage, health, veterinary services, and cattle cost.</t>
    </r>
  </si>
  <si>
    <r>
      <rPr>
        <b/>
        <sz val="11"/>
        <rFont val="Times New Roman"/>
        <family val="1"/>
      </rPr>
      <t xml:space="preserve"> Total Cost and Total Unit Cost (TUC) includes:</t>
    </r>
    <r>
      <rPr>
        <sz val="11"/>
        <rFont val="Times New Roman"/>
        <family val="1"/>
      </rPr>
      <t xml:space="preserve"> 1. Direct costs, 2. Indirect costs including general and administrative (G&amp;A) and management costs including owner operating management compensation and 3. Finance. When costs are complete TUC is consistent with the total business income statement or profit and loss (P&amp;L) statement.   </t>
    </r>
  </si>
  <si>
    <r>
      <t>Average Daily Gain (ADG)</t>
    </r>
    <r>
      <rPr>
        <sz val="11"/>
        <rFont val="Times New Roman"/>
        <family val="1"/>
      </rPr>
      <t xml:space="preserve"> is the net payweight weight gain divided by head days. This weight is adjusted for death loss (deads are in) as only live cattle payweight are counted.  Average daily gain is total saleable net gain divided by head days fed.</t>
    </r>
  </si>
  <si>
    <r>
      <t>Direct Costs</t>
    </r>
    <r>
      <rPr>
        <sz val="11"/>
        <rFont val="Times New Roman"/>
        <family val="1"/>
      </rPr>
      <t xml:space="preserve"> are expense items that are directly related to production activity such as feed, yardage, health and feeder cost. All retained ownership costs in feedyards are direct costs. </t>
    </r>
  </si>
  <si>
    <r>
      <t>Cattle Owner Management</t>
    </r>
    <r>
      <rPr>
        <sz val="11"/>
        <rFont val="Times New Roman"/>
        <family val="1"/>
      </rPr>
      <t xml:space="preserve"> cost or compensation should be included in the production cost calculation at the manager’s salary lever or a level equivalent to the salary required hiring a non-family member to provide an equivalent service. Cattle owner’s management costs need to be included in costs as compensation for feeding and marketing decisions. </t>
    </r>
  </si>
  <si>
    <r>
      <t xml:space="preserve">Freight or Trucking Costs </t>
    </r>
    <r>
      <rPr>
        <sz val="11"/>
        <rFont val="Times New Roman"/>
        <family val="1"/>
      </rPr>
      <t>are a marketing cost</t>
    </r>
    <r>
      <rPr>
        <b/>
        <sz val="11"/>
        <rFont val="Times New Roman"/>
        <family val="1"/>
      </rPr>
      <t xml:space="preserve"> </t>
    </r>
    <r>
      <rPr>
        <sz val="11"/>
        <rFont val="Times New Roman"/>
        <family val="1"/>
      </rPr>
      <t>and reduce the gross revenue or the net payweight price received for cattle.</t>
    </r>
    <r>
      <rPr>
        <b/>
        <sz val="11"/>
        <rFont val="Times New Roman"/>
        <family val="1"/>
      </rPr>
      <t xml:space="preserve"> </t>
    </r>
    <r>
      <rPr>
        <sz val="11"/>
        <rFont val="Times New Roman"/>
        <family val="1"/>
      </rPr>
      <t>They should not be includes as a cost of gain.</t>
    </r>
  </si>
  <si>
    <r>
      <t xml:space="preserve">Indirect Costs </t>
    </r>
    <r>
      <rPr>
        <sz val="11"/>
        <rFont val="Times New Roman"/>
        <family val="1"/>
      </rPr>
      <t>are</t>
    </r>
    <r>
      <rPr>
        <b/>
        <sz val="11"/>
        <rFont val="Times New Roman"/>
        <family val="1"/>
      </rPr>
      <t xml:space="preserve"> </t>
    </r>
    <r>
      <rPr>
        <sz val="11"/>
        <rFont val="Times New Roman"/>
        <family val="1"/>
      </rPr>
      <t>the costs the feedyard incurs</t>
    </r>
    <r>
      <rPr>
        <b/>
        <sz val="11"/>
        <rFont val="Times New Roman"/>
        <family val="1"/>
      </rPr>
      <t xml:space="preserve"> </t>
    </r>
    <r>
      <rPr>
        <sz val="11"/>
        <rFont val="Times New Roman"/>
        <family val="1"/>
      </rPr>
      <t xml:space="preserve">and are covered by the head day yardage charged to the customers cost. Indirect costs include ownership and operating cost of facilities. Depreciation, repair, maintenance, of the yard vehicles, machinery and equipment, labor and management, utilities, property tax are examples of operating costs. General and administrative costs are indirect cost. </t>
    </r>
    <r>
      <rPr>
        <b/>
        <sz val="11"/>
        <rFont val="Times New Roman"/>
        <family val="1"/>
      </rPr>
      <t xml:space="preserve"> </t>
    </r>
    <r>
      <rPr>
        <sz val="11"/>
        <rFont val="Times New Roman"/>
        <family val="1"/>
      </rPr>
      <t>One reason why</t>
    </r>
    <r>
      <rPr>
        <b/>
        <sz val="11"/>
        <rFont val="Times New Roman"/>
        <family val="1"/>
      </rPr>
      <t xml:space="preserve"> </t>
    </r>
    <r>
      <rPr>
        <sz val="11"/>
        <rFont val="Times New Roman"/>
        <family val="1"/>
      </rPr>
      <t xml:space="preserve">it so important to keep pens fill is many indirect costs go on, are fixed costs, whether the yard is fill or 25% empty.         </t>
    </r>
  </si>
  <si>
    <r>
      <t>Payweight Price</t>
    </r>
    <r>
      <rPr>
        <sz val="11"/>
        <rFont val="Times New Roman"/>
        <family val="1"/>
      </rPr>
      <t xml:space="preserve"> is the net income from sale after adjustments for freight and marketing costs.  Payweight is the net weight after shrinkage for the cattle.</t>
    </r>
  </si>
  <si>
    <r>
      <t>Marketing Margin</t>
    </r>
    <r>
      <rPr>
        <sz val="11"/>
        <rFont val="Times New Roman"/>
        <family val="1"/>
      </rPr>
      <t xml:space="preserve"> is the initial feeder payweight times the roll back or roll up in price or the positive or negative margin between initial feeder price and the finished cattle sales price.</t>
    </r>
  </si>
  <si>
    <r>
      <t>Net Payweight Gain</t>
    </r>
    <r>
      <rPr>
        <sz val="11"/>
        <rFont val="Times New Roman"/>
        <family val="1"/>
      </rPr>
      <t xml:space="preserve"> is the difference between net sales or payweight and weaning weight.</t>
    </r>
  </si>
  <si>
    <r>
      <t>Net Payweight Sales Revenue</t>
    </r>
    <r>
      <rPr>
        <sz val="11"/>
        <rFont val="Times New Roman"/>
        <family val="1"/>
      </rPr>
      <t xml:space="preserve"> is the revenue received per cwt after shrink and all freight and marketing costs are accounted for.</t>
    </r>
  </si>
  <si>
    <r>
      <t>Payweight In</t>
    </r>
    <r>
      <rPr>
        <sz val="11"/>
        <rFont val="Times New Roman"/>
        <family val="1"/>
      </rPr>
      <t xml:space="preserve"> is the net beginning payweight weight. Off truck weight at arrival at the feedyard </t>
    </r>
  </si>
  <si>
    <r>
      <t xml:space="preserve">Payweight Out </t>
    </r>
    <r>
      <rPr>
        <sz val="11"/>
        <rFont val="Times New Roman"/>
        <family val="1"/>
      </rPr>
      <t>is the net weight out after shrinkage (deads are in).  In other words, it is net-to-net payweight. Feedyard performance with deads out is wrong and just distorts reality.</t>
    </r>
  </si>
  <si>
    <r>
      <t>Preconditioning and Backgrounding</t>
    </r>
    <r>
      <rPr>
        <sz val="11"/>
        <rFont val="Times New Roman"/>
        <family val="1"/>
      </rPr>
      <t xml:space="preserve"> is often used interchangeably.  This is the phase of production between weaning and selling or transferring to a feeder or finishing phase of production.  Preconditioning is a 30-60 day period.  Backgrounding is normally used to describe cattle that are confinement fed for a longer period between weaning and sale as feeders.</t>
    </r>
  </si>
  <si>
    <r>
      <t>Price Slide</t>
    </r>
    <r>
      <rPr>
        <sz val="11"/>
        <rFont val="Times New Roman"/>
        <family val="1"/>
      </rPr>
      <t xml:space="preserve"> is a price adjustment for a weight that differs from the base weight.  It is very common for feeder and feeder buyers to include a price slide to the agreement to protect the price they pay for cattle at the base contract weight.  If the weight exceeds the base then a deduction is made.  </t>
    </r>
  </si>
  <si>
    <r>
      <t>Profit (Loss)</t>
    </r>
    <r>
      <rPr>
        <sz val="11"/>
        <rFont val="Times New Roman"/>
        <family val="1"/>
      </rPr>
      <t xml:space="preserve"> care must be exercised in reading reports in the cattle sector labeling the value profit or loss.  Most frequently in feedyard and other cattle reporting, these numbers are gross margins (gross revenue minus direct feedyard costs) and do not include overhead and owner labor and management costs, which are required to calculate a true profit or return to business equity. Reports are inconsistence is how interest costs are included.</t>
    </r>
  </si>
  <si>
    <r>
      <t xml:space="preserve">Rate of Return on Investment (ROI) </t>
    </r>
    <r>
      <rPr>
        <sz val="11"/>
        <rFont val="Times New Roman"/>
        <family val="1"/>
      </rPr>
      <t>can also be called return on assets.  This ratio gives an indication of how productively the assets are being utilized.  A low return on assets could indicate inefficiencies in the use of assets; low net income due high cattle cost, high feed costs, poor production performance or low cattle sales price or a combination of these factors. See annualized net return on investment above.</t>
    </r>
  </si>
  <si>
    <r>
      <t xml:space="preserve">Roll Back </t>
    </r>
    <r>
      <rPr>
        <sz val="11"/>
        <rFont val="Times New Roman"/>
        <family val="1"/>
      </rPr>
      <t xml:space="preserve">is a term to describe the difference between the net payweight price of finished cattle and their payweight feeder purchase price or cost. This is the cost per cwt. weight on the beginning weight that has to be overcome by cost of gain to make a profit.  </t>
    </r>
    <r>
      <rPr>
        <b/>
        <sz val="11"/>
        <rFont val="Times New Roman"/>
        <family val="1"/>
      </rPr>
      <t xml:space="preserve"> </t>
    </r>
  </si>
  <si>
    <r>
      <t xml:space="preserve">Sunk Cost – </t>
    </r>
    <r>
      <rPr>
        <sz val="11"/>
        <rFont val="Times New Roman"/>
        <family val="1"/>
      </rPr>
      <t>is</t>
    </r>
    <r>
      <rPr>
        <b/>
        <sz val="11"/>
        <rFont val="Times New Roman"/>
        <family val="1"/>
      </rPr>
      <t xml:space="preserve"> </t>
    </r>
    <r>
      <rPr>
        <sz val="11"/>
        <rFont val="Times New Roman"/>
        <family val="1"/>
      </rPr>
      <t>used</t>
    </r>
    <r>
      <rPr>
        <b/>
        <sz val="11"/>
        <rFont val="Times New Roman"/>
        <family val="1"/>
      </rPr>
      <t xml:space="preserve"> </t>
    </r>
    <r>
      <rPr>
        <sz val="11"/>
        <rFont val="Times New Roman"/>
        <family val="1"/>
      </rPr>
      <t>to describe a cost that has incurred or has taken place that cannot be reversed.</t>
    </r>
    <r>
      <rPr>
        <b/>
        <sz val="11"/>
        <rFont val="Times New Roman"/>
        <family val="1"/>
      </rPr>
      <t xml:space="preserve"> </t>
    </r>
    <r>
      <rPr>
        <sz val="11"/>
        <rFont val="Times New Roman"/>
        <family val="1"/>
      </rPr>
      <t>At the weaning time the costs to produce the calf are sunk costs. These costs do not determine if the weaned calves should be retained or not. It’s a question will the added revenue be greater than the added costs</t>
    </r>
    <r>
      <rPr>
        <b/>
        <sz val="11"/>
        <rFont val="Times New Roman"/>
        <family val="1"/>
      </rPr>
      <t xml:space="preserve"> </t>
    </r>
    <r>
      <rPr>
        <sz val="11"/>
        <rFont val="Times New Roman"/>
        <family val="1"/>
      </rPr>
      <t>from retained ownership in greater than just selling the unweaned calf.</t>
    </r>
  </si>
  <si>
    <r>
      <t>Total Unrealized Sales Value</t>
    </r>
    <r>
      <rPr>
        <sz val="11"/>
        <rFont val="Times New Roman"/>
        <family val="1"/>
      </rPr>
      <t xml:space="preserve"> (opportunity cost) is the net sales revenue that is projected if the calves are sold at weaning after shrink and marketing costs.  The weight, price and marketing costs are critical in determining net payweight and payweight price.</t>
    </r>
  </si>
  <si>
    <r>
      <t xml:space="preserve">Facilities or Yardage Cost </t>
    </r>
    <r>
      <rPr>
        <sz val="11"/>
        <rFont val="Times New Roman"/>
        <family val="1"/>
      </rPr>
      <t>is</t>
    </r>
    <r>
      <rPr>
        <b/>
        <sz val="11"/>
        <rFont val="Times New Roman"/>
        <family val="1"/>
      </rPr>
      <t xml:space="preserve"> </t>
    </r>
    <r>
      <rPr>
        <sz val="11"/>
        <rFont val="Times New Roman"/>
        <family val="1"/>
      </rPr>
      <t>used as an expression indirect cost that include ownership and operating cost of the feedyard and general and administrative (G&amp;A) costs. These costs are and charged on a per head basis to individual lots. The sum of direct costs and yardage when combined with financing cost would be the feedyard’s total unit cost. Some feedyard’s mark up feed to cover all or a portion of yardage costs.</t>
    </r>
  </si>
  <si>
    <t>Preconditioning Cost per Hd./Out</t>
  </si>
  <si>
    <t>Health &amp; Feed Direct Costs</t>
  </si>
  <si>
    <t>Indirect Cost</t>
  </si>
  <si>
    <t>Finance Cost</t>
  </si>
  <si>
    <t>Total Unit Cost</t>
  </si>
  <si>
    <t>Calves Unweaned Calf Value</t>
  </si>
  <si>
    <r>
      <t xml:space="preserve"> </t>
    </r>
    <r>
      <rPr>
        <b/>
        <sz val="11"/>
        <rFont val="Times New Roman"/>
        <family val="1"/>
      </rPr>
      <t xml:space="preserve">Owner Operator Labor and Management </t>
    </r>
    <r>
      <rPr>
        <sz val="11"/>
        <rFont val="Times New Roman"/>
        <family val="1"/>
      </rPr>
      <t>compensation should be included in the production cost calculation at a level equivalent to the salary required to hire a non-family member to provide an equivalent service.  Compensation in excess of this amount must be considered capital distributions in order to reconcile the retained earnings and statement of cash flows.  This makes a sole proprietors cost comparable to a corporate business’s cost calculation.  Owner manager costs need to be included in production costs. Many sole proprietor businesses have withdrawals for family living. Withdrawals beyond an equivalent to the salary would be an equity withdrawal not a production cost.</t>
    </r>
  </si>
  <si>
    <r>
      <t xml:space="preserve">General and Administrative Cost (G&amp;A) </t>
    </r>
    <r>
      <rPr>
        <sz val="11"/>
        <rFont val="Times New Roman"/>
        <family val="1"/>
      </rPr>
      <t>is indirect  the costs that all business incurs to cover book keeping, professional fees, insurance, office supplies, computer services, phone and other utilities cost. Administrative cost includes the salary and payroll for hired of owner management. There is management time spent on planning, implementation and marketing issues for the cattle feeding retained ownership activity.</t>
    </r>
  </si>
  <si>
    <t>Version 2/5/2016</t>
  </si>
  <si>
    <t xml:space="preserve">is irrelevant in cattle feeding production and economic performance analysis. As its payweight that counts in the end. </t>
  </si>
  <si>
    <r>
      <t xml:space="preserve">Value of Gain </t>
    </r>
    <r>
      <rPr>
        <sz val="11"/>
        <rFont val="Times New Roman"/>
        <family val="1"/>
      </rPr>
      <t>is  the net preconditioned income minus the initial net unweaned calf value divided by the net sales payweight. The value of gain must be greater than the cost of gain to be profitable market alternative.</t>
    </r>
  </si>
  <si>
    <t>Special Video Auction Sale for Vac 45 raised calves</t>
  </si>
  <si>
    <t>Steers</t>
  </si>
  <si>
    <t>Freight, Marketing Cost &amp; Fees - $/Hd.</t>
  </si>
  <si>
    <r>
      <t xml:space="preserve">Freight Shrink </t>
    </r>
    <r>
      <rPr>
        <sz val="11"/>
        <rFont val="Times New Roman"/>
        <family val="1"/>
      </rPr>
      <t xml:space="preserve">is the extra shrink calves suffer when they travel long distances. The time and feed required to recover will reduce performance and increase cost. This should be a factor of consideration in reviewing and comparing closeouts.  </t>
    </r>
  </si>
  <si>
    <t>Net Payweight Sales - $/Hd. &amp; $/Cwt.</t>
  </si>
  <si>
    <r>
      <t xml:space="preserve">Annualized Net Return on Investment </t>
    </r>
    <r>
      <rPr>
        <sz val="11"/>
        <rFont val="Times New Roman"/>
        <family val="1"/>
      </rPr>
      <t>(ROI) is the net income plus cash interest paid divided by annualized capital investment requirement to support the cattle activity. The reason interest is added back as interest paid represents a return the debt capital. ROI is a return to capital invested irrespective of capital ownership. Capital is adjusted for the time cattle are on feed. Investment required is estimated by taking one half of the investment in non-cattle costs plus the total payweight cost of the feeder cattle times days on feed divided by 365 days. A low ROI is due to high calf or feeder cost relative to sales value, high feeding costs of gain, poor production performance or a combination of these factors.</t>
    </r>
  </si>
  <si>
    <t>Preconditioned Calf Price Weight Slide Using Market Price Data by Weight</t>
  </si>
  <si>
    <t xml:space="preserve">Calculated Price Slide Based on Reported Cattle Prices </t>
  </si>
  <si>
    <t>Prices</t>
  </si>
  <si>
    <t>Unweaned</t>
  </si>
  <si>
    <t>Cattle Prices</t>
  </si>
  <si>
    <t>TX - Steers</t>
  </si>
  <si>
    <t>Slide</t>
  </si>
  <si>
    <t xml:space="preserve"> High -Low</t>
  </si>
  <si>
    <t xml:space="preserve">     Weight</t>
  </si>
  <si>
    <t xml:space="preserve"> Weight Range</t>
  </si>
  <si>
    <t>Average</t>
  </si>
  <si>
    <t>$/Cwt</t>
  </si>
  <si>
    <t xml:space="preserve">    Range</t>
  </si>
  <si>
    <t>Cents/Lb.</t>
  </si>
  <si>
    <t xml:space="preserve">       Slide</t>
  </si>
  <si>
    <t>Cattle Description</t>
  </si>
  <si>
    <t xml:space="preserve"> Wt.  Change</t>
  </si>
  <si>
    <t>Weight of Calf</t>
  </si>
  <si>
    <t>Lb./Head</t>
  </si>
  <si>
    <t xml:space="preserve">Shrink When Sold  </t>
  </si>
  <si>
    <t>Net Payweight</t>
  </si>
  <si>
    <t>Cattle Price Slide Calculator-------------------</t>
  </si>
  <si>
    <t>Unweaned Calf</t>
  </si>
  <si>
    <t>At Weaning</t>
  </si>
  <si>
    <t xml:space="preserve">  Base Feeder Weight for Calculating Slide</t>
  </si>
  <si>
    <t>Calculation of Discounts or Premium</t>
  </si>
  <si>
    <t xml:space="preserve">  Tolerance Above Base Weight</t>
  </si>
  <si>
    <t>Heavy</t>
  </si>
  <si>
    <t xml:space="preserve">  Tolerance Below Base Weight</t>
  </si>
  <si>
    <t>Light</t>
  </si>
  <si>
    <t xml:space="preserve">  Price Slide  - Heaver Than Base Weight</t>
  </si>
  <si>
    <t xml:space="preserve">  Price Slide  - Lower Than Base Weight</t>
  </si>
  <si>
    <t>Slide Discount or Premium</t>
  </si>
  <si>
    <t>Price Slide Discount (-) or Addition (+)</t>
  </si>
  <si>
    <t>Price Slide - $/Cwt. - See Sheet 2</t>
  </si>
  <si>
    <t>See page 3 for a feed cost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</si>
</sst>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
    <numFmt numFmtId="166" formatCode="&quot;$&quot;#,##0.00"/>
    <numFmt numFmtId="167" formatCode="_(&quot;$&quot;* #,##0_);_(&quot;$&quot;* \(#,##0\);_(&quot;$&quot;* &quot;-&quot;??_);_(@_)"/>
    <numFmt numFmtId="168" formatCode="[$$-409]#,##0.00_);[Red]\([$$-409]#,##0.00\)"/>
    <numFmt numFmtId="169" formatCode="&quot;$&quot;#,##0"/>
    <numFmt numFmtId="170" formatCode="[$$-409]#,##0_);[Red]\([$$-409]#,##0\)"/>
    <numFmt numFmtId="171" formatCode="&quot;$&quot;#,##0.000"/>
    <numFmt numFmtId="172" formatCode="&quot;$&quot;#,##0.0000"/>
    <numFmt numFmtId="173" formatCode="[$$-409]#,##0.000_);[Red]\([$$-409]#,##0.000\)"/>
    <numFmt numFmtId="174" formatCode="[$-409]d\-mmm\-yy;@"/>
    <numFmt numFmtId="175" formatCode="&quot;$&quot;#,##0.00000"/>
    <numFmt numFmtId="176" formatCode="_(* #,##0.0_);_(* \(#,##0.0\);_(* &quot;-&quot;??_);_(@_)"/>
    <numFmt numFmtId="177" formatCode="_(* #,##0_);_(* \(#,##0\);_(* &quot;-&quot;??_);_(@_)"/>
  </numFmts>
  <fonts count="37" x14ac:knownFonts="1">
    <font>
      <sz val="10"/>
      <name val="Arial"/>
    </font>
    <font>
      <sz val="12"/>
      <color theme="1"/>
      <name val="Arial"/>
      <family val="2"/>
    </font>
    <font>
      <b/>
      <sz val="12"/>
      <name val="Arial"/>
      <family val="2"/>
    </font>
    <font>
      <sz val="10"/>
      <name val="Arial"/>
      <family val="2"/>
    </font>
    <font>
      <b/>
      <sz val="10"/>
      <color indexed="12"/>
      <name val="Arial"/>
      <family val="2"/>
    </font>
    <font>
      <b/>
      <sz val="10"/>
      <name val="Arial"/>
      <family val="2"/>
    </font>
    <font>
      <sz val="9"/>
      <name val="Arial"/>
      <family val="2"/>
    </font>
    <font>
      <sz val="11"/>
      <name val="Arial"/>
      <family val="2"/>
    </font>
    <font>
      <b/>
      <sz val="12"/>
      <color rgb="FF0000FF"/>
      <name val="Arial"/>
      <family val="2"/>
    </font>
    <font>
      <sz val="10"/>
      <color rgb="FF0000FF"/>
      <name val="Arial"/>
      <family val="2"/>
    </font>
    <font>
      <b/>
      <sz val="12"/>
      <color indexed="12"/>
      <name val="Arial"/>
      <family val="2"/>
    </font>
    <font>
      <sz val="12"/>
      <name val="Arial"/>
      <family val="2"/>
    </font>
    <font>
      <b/>
      <sz val="11"/>
      <name val="Arial"/>
      <family val="2"/>
    </font>
    <font>
      <b/>
      <sz val="11"/>
      <name val="Times New Roman"/>
      <family val="1"/>
    </font>
    <font>
      <sz val="11"/>
      <name val="Times New Roman"/>
      <family val="1"/>
    </font>
    <font>
      <b/>
      <sz val="10"/>
      <color rgb="FF0000FF"/>
      <name val="Arial"/>
      <family val="2"/>
    </font>
    <font>
      <sz val="8"/>
      <name val="Arial"/>
      <family val="2"/>
    </font>
    <font>
      <sz val="10"/>
      <name val="Arial"/>
      <family val="2"/>
    </font>
    <font>
      <sz val="12"/>
      <color rgb="FF0000FF"/>
      <name val="Arial"/>
      <family val="2"/>
    </font>
    <font>
      <sz val="12"/>
      <color rgb="FF0070C0"/>
      <name val="Arial"/>
      <family val="2"/>
    </font>
    <font>
      <sz val="11"/>
      <color rgb="FF2D07B9"/>
      <name val="Arial"/>
      <family val="2"/>
    </font>
    <font>
      <sz val="12"/>
      <color rgb="FF2D07B9"/>
      <name val="Arial"/>
      <family val="2"/>
    </font>
    <font>
      <sz val="10"/>
      <color rgb="FF2D07B9"/>
      <name val="Arial"/>
      <family val="2"/>
    </font>
    <font>
      <sz val="10"/>
      <color rgb="FF0070C0"/>
      <name val="Arial"/>
      <family val="2"/>
    </font>
    <font>
      <b/>
      <sz val="12"/>
      <color theme="1"/>
      <name val="Arial"/>
      <family val="2"/>
    </font>
    <font>
      <b/>
      <sz val="10"/>
      <color theme="1"/>
      <name val="Arial"/>
      <family val="2"/>
    </font>
    <font>
      <b/>
      <sz val="14"/>
      <color theme="1"/>
      <name val="Arial"/>
      <family val="2"/>
    </font>
    <font>
      <sz val="10"/>
      <color rgb="FFFF0000"/>
      <name val="Arial"/>
      <family val="2"/>
    </font>
    <font>
      <sz val="10"/>
      <color indexed="39"/>
      <name val="Arial"/>
      <family val="2"/>
    </font>
    <font>
      <b/>
      <sz val="14"/>
      <name val="Arial"/>
      <family val="2"/>
    </font>
    <font>
      <sz val="14"/>
      <name val="Arial"/>
      <family val="2"/>
    </font>
    <font>
      <b/>
      <sz val="18"/>
      <name val="Arial"/>
      <family val="2"/>
    </font>
    <font>
      <sz val="12"/>
      <color indexed="39"/>
      <name val="Arial"/>
      <family val="2"/>
    </font>
    <font>
      <sz val="11"/>
      <color indexed="39"/>
      <name val="Arial"/>
      <family val="2"/>
    </font>
    <font>
      <sz val="12"/>
      <color indexed="12"/>
      <name val="Arial"/>
      <family val="2"/>
    </font>
    <font>
      <sz val="10"/>
      <color indexed="10"/>
      <name val="Arial"/>
      <family val="2"/>
    </font>
    <font>
      <b/>
      <sz val="12"/>
      <color indexed="8"/>
      <name val="Arial"/>
      <family val="2"/>
    </font>
  </fonts>
  <fills count="4">
    <fill>
      <patternFill patternType="none"/>
    </fill>
    <fill>
      <patternFill patternType="gray125"/>
    </fill>
    <fill>
      <patternFill patternType="solid">
        <fgColor rgb="FFCCFF99"/>
        <bgColor indexed="64"/>
      </patternFill>
    </fill>
    <fill>
      <patternFill patternType="solid">
        <fgColor rgb="FFCCFFCC"/>
        <bgColor indexed="64"/>
      </patternFill>
    </fill>
  </fills>
  <borders count="14">
    <border>
      <left/>
      <right/>
      <top/>
      <bottom/>
      <diagonal/>
    </border>
    <border>
      <left/>
      <right/>
      <top/>
      <bottom style="double">
        <color indexed="64"/>
      </bottom>
      <diagonal/>
    </border>
    <border>
      <left/>
      <right/>
      <top style="double">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ck">
        <color auto="1"/>
      </top>
      <bottom/>
      <diagonal/>
    </border>
    <border>
      <left style="thin">
        <color auto="1"/>
      </left>
      <right/>
      <top/>
      <bottom/>
      <diagonal/>
    </border>
    <border>
      <left style="thin">
        <color indexed="8"/>
      </left>
      <right style="thin">
        <color indexed="8"/>
      </right>
      <top style="thin">
        <color indexed="8"/>
      </top>
      <bottom/>
      <diagonal/>
    </border>
    <border>
      <left style="thin">
        <color indexed="8"/>
      </left>
      <right/>
      <top/>
      <bottom/>
      <diagonal/>
    </border>
    <border>
      <left/>
      <right/>
      <top style="thin">
        <color indexed="8"/>
      </top>
      <bottom/>
      <diagonal/>
    </border>
    <border>
      <left/>
      <right/>
      <top/>
      <bottom style="thin">
        <color indexed="64"/>
      </bottom>
      <diagonal/>
    </border>
    <border>
      <left style="thin">
        <color indexed="8"/>
      </left>
      <right style="thin">
        <color indexed="8"/>
      </right>
      <top/>
      <bottom style="thin">
        <color indexed="8"/>
      </bottom>
      <diagonal/>
    </border>
  </borders>
  <cellStyleXfs count="9">
    <xf numFmtId="0" fontId="0" fillId="0" borderId="0"/>
    <xf numFmtId="44" fontId="3" fillId="0" borderId="0" applyFont="0" applyFill="0" applyBorder="0" applyAlignment="0" applyProtection="0"/>
    <xf numFmtId="9" fontId="3"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43" fontId="17" fillId="0" borderId="0" applyFont="0" applyFill="0" applyBorder="0" applyAlignment="0" applyProtection="0"/>
    <xf numFmtId="0" fontId="11" fillId="0" borderId="0"/>
  </cellStyleXfs>
  <cellXfs count="225">
    <xf numFmtId="0" fontId="0" fillId="0" borderId="0" xfId="0"/>
    <xf numFmtId="0" fontId="2" fillId="0" borderId="0" xfId="0" applyFont="1"/>
    <xf numFmtId="0" fontId="3" fillId="0" borderId="0" xfId="0" applyFont="1"/>
    <xf numFmtId="0" fontId="4" fillId="0" borderId="0" xfId="0" applyFont="1" applyProtection="1">
      <protection locked="0"/>
    </xf>
    <xf numFmtId="0" fontId="5" fillId="0" borderId="0" xfId="0" applyFont="1"/>
    <xf numFmtId="9" fontId="4" fillId="0" borderId="0" xfId="2" applyFont="1" applyProtection="1">
      <protection locked="0"/>
    </xf>
    <xf numFmtId="44" fontId="0" fillId="0" borderId="0" xfId="0" applyNumberFormat="1"/>
    <xf numFmtId="164" fontId="0" fillId="0" borderId="0" xfId="1" applyNumberFormat="1" applyFont="1"/>
    <xf numFmtId="164" fontId="0" fillId="0" borderId="0" xfId="0" applyNumberFormat="1"/>
    <xf numFmtId="10" fontId="0" fillId="0" borderId="0" xfId="0" applyNumberFormat="1"/>
    <xf numFmtId="10" fontId="5" fillId="0" borderId="0" xfId="2" applyNumberFormat="1" applyFont="1"/>
    <xf numFmtId="165" fontId="5" fillId="0" borderId="0" xfId="2" applyNumberFormat="1" applyFont="1"/>
    <xf numFmtId="167" fontId="5" fillId="0" borderId="0" xfId="0" applyNumberFormat="1" applyFont="1"/>
    <xf numFmtId="39" fontId="4" fillId="0" borderId="0" xfId="1" applyNumberFormat="1" applyFont="1" applyProtection="1">
      <protection locked="0"/>
    </xf>
    <xf numFmtId="165" fontId="4" fillId="0" borderId="0" xfId="2" applyNumberFormat="1" applyFont="1" applyProtection="1">
      <protection locked="0"/>
    </xf>
    <xf numFmtId="168" fontId="4" fillId="0" borderId="0" xfId="1" applyNumberFormat="1" applyFont="1" applyProtection="1">
      <protection locked="0"/>
    </xf>
    <xf numFmtId="168" fontId="0" fillId="0" borderId="0" xfId="0" applyNumberFormat="1"/>
    <xf numFmtId="168" fontId="5" fillId="0" borderId="0" xfId="0" applyNumberFormat="1" applyFont="1"/>
    <xf numFmtId="166" fontId="4" fillId="0" borderId="0" xfId="1" applyNumberFormat="1" applyFont="1" applyProtection="1">
      <protection locked="0"/>
    </xf>
    <xf numFmtId="166" fontId="5" fillId="0" borderId="0" xfId="0" applyNumberFormat="1" applyFont="1"/>
    <xf numFmtId="0" fontId="5" fillId="0" borderId="0" xfId="0" quotePrefix="1" applyFont="1"/>
    <xf numFmtId="166" fontId="3" fillId="0" borderId="0" xfId="2" applyNumberFormat="1" applyFont="1"/>
    <xf numFmtId="170" fontId="0" fillId="0" borderId="0" xfId="0" applyNumberFormat="1"/>
    <xf numFmtId="170" fontId="5" fillId="0" borderId="0" xfId="0" applyNumberFormat="1" applyFont="1" applyBorder="1"/>
    <xf numFmtId="164" fontId="5" fillId="0" borderId="0" xfId="0" applyNumberFormat="1" applyFont="1" applyFill="1"/>
    <xf numFmtId="170" fontId="3" fillId="0" borderId="1" xfId="0" applyNumberFormat="1" applyFont="1" applyBorder="1"/>
    <xf numFmtId="168" fontId="3" fillId="0" borderId="0" xfId="0" applyNumberFormat="1" applyFont="1" applyBorder="1"/>
    <xf numFmtId="168" fontId="3" fillId="0" borderId="1" xfId="0" applyNumberFormat="1" applyFont="1" applyBorder="1"/>
    <xf numFmtId="10" fontId="5" fillId="0" borderId="0" xfId="0" applyNumberFormat="1" applyFont="1"/>
    <xf numFmtId="169" fontId="0" fillId="0" borderId="0" xfId="0" applyNumberFormat="1"/>
    <xf numFmtId="166" fontId="0" fillId="0" borderId="0" xfId="0" applyNumberFormat="1"/>
    <xf numFmtId="172" fontId="0" fillId="0" borderId="0" xfId="0" applyNumberFormat="1"/>
    <xf numFmtId="166" fontId="3" fillId="0" borderId="0" xfId="0" applyNumberFormat="1" applyFont="1"/>
    <xf numFmtId="2" fontId="0" fillId="0" borderId="0" xfId="0" applyNumberFormat="1"/>
    <xf numFmtId="0" fontId="5" fillId="0" borderId="0" xfId="0" applyFont="1" applyAlignment="1">
      <alignment horizontal="right"/>
    </xf>
    <xf numFmtId="0" fontId="2" fillId="0" borderId="0" xfId="0" applyFont="1" applyAlignment="1">
      <alignment horizontal="right"/>
    </xf>
    <xf numFmtId="10" fontId="2" fillId="0" borderId="0" xfId="0" applyNumberFormat="1" applyFont="1"/>
    <xf numFmtId="173" fontId="5" fillId="0" borderId="0" xfId="0" applyNumberFormat="1" applyFont="1"/>
    <xf numFmtId="168" fontId="5" fillId="0" borderId="2" xfId="0" applyNumberFormat="1" applyFont="1" applyBorder="1"/>
    <xf numFmtId="164" fontId="5" fillId="0" borderId="0" xfId="0" applyNumberFormat="1" applyFont="1"/>
    <xf numFmtId="0" fontId="8" fillId="0" borderId="4" xfId="0" applyFont="1" applyBorder="1" applyAlignment="1" applyProtection="1">
      <alignment horizontal="left"/>
      <protection locked="0"/>
    </xf>
    <xf numFmtId="0" fontId="9" fillId="0" borderId="5" xfId="0" applyFont="1" applyBorder="1" applyAlignment="1" applyProtection="1">
      <alignment horizontal="left"/>
      <protection locked="0"/>
    </xf>
    <xf numFmtId="0" fontId="9" fillId="0" borderId="6" xfId="0" applyFont="1" applyBorder="1" applyAlignment="1" applyProtection="1">
      <alignment horizontal="left"/>
      <protection locked="0"/>
    </xf>
    <xf numFmtId="0" fontId="10" fillId="0" borderId="3" xfId="0" applyFont="1" applyBorder="1" applyProtection="1">
      <protection locked="0"/>
    </xf>
    <xf numFmtId="2" fontId="0" fillId="0" borderId="0" xfId="0" applyNumberFormat="1" applyAlignment="1">
      <alignment horizontal="center"/>
    </xf>
    <xf numFmtId="166" fontId="0" fillId="0" borderId="0" xfId="0" applyNumberFormat="1" applyAlignment="1">
      <alignment horizontal="center"/>
    </xf>
    <xf numFmtId="0" fontId="3" fillId="0" borderId="0" xfId="0" applyFont="1" applyAlignment="1">
      <alignment horizontal="center"/>
    </xf>
    <xf numFmtId="168" fontId="5" fillId="0" borderId="0" xfId="0" applyNumberFormat="1" applyFont="1" applyBorder="1"/>
    <xf numFmtId="166" fontId="5" fillId="0" borderId="2" xfId="0" applyNumberFormat="1" applyFont="1" applyBorder="1"/>
    <xf numFmtId="164" fontId="4" fillId="0" borderId="0" xfId="2" applyNumberFormat="1" applyFont="1" applyProtection="1">
      <protection locked="0"/>
    </xf>
    <xf numFmtId="166" fontId="6" fillId="0" borderId="0" xfId="0" applyNumberFormat="1" applyFont="1"/>
    <xf numFmtId="0" fontId="12" fillId="0" borderId="0" xfId="0" applyFont="1" applyBorder="1" applyAlignment="1" applyProtection="1">
      <alignment horizontal="right"/>
      <protection locked="0"/>
    </xf>
    <xf numFmtId="174" fontId="15" fillId="0" borderId="3" xfId="0" applyNumberFormat="1" applyFont="1" applyBorder="1" applyProtection="1">
      <protection locked="0"/>
    </xf>
    <xf numFmtId="166" fontId="5" fillId="0" borderId="0" xfId="2" applyNumberFormat="1" applyFont="1"/>
    <xf numFmtId="166" fontId="4" fillId="0" borderId="0" xfId="2" applyNumberFormat="1" applyFont="1" applyProtection="1">
      <protection locked="0"/>
    </xf>
    <xf numFmtId="0" fontId="5" fillId="0" borderId="0" xfId="0" applyFont="1" applyAlignment="1">
      <alignment horizontal="left"/>
    </xf>
    <xf numFmtId="0" fontId="5" fillId="2" borderId="0" xfId="0" applyFont="1" applyFill="1"/>
    <xf numFmtId="166" fontId="5" fillId="2" borderId="0" xfId="0" applyNumberFormat="1" applyFont="1" applyFill="1"/>
    <xf numFmtId="165" fontId="5" fillId="0" borderId="0" xfId="2" applyNumberFormat="1" applyFont="1" applyAlignment="1">
      <alignment horizontal="center"/>
    </xf>
    <xf numFmtId="171" fontId="3" fillId="0" borderId="0" xfId="0" applyNumberFormat="1" applyFont="1"/>
    <xf numFmtId="0" fontId="5" fillId="2" borderId="0" xfId="0" applyFont="1" applyFill="1" applyAlignment="1">
      <alignment horizontal="right"/>
    </xf>
    <xf numFmtId="168" fontId="5" fillId="2" borderId="0" xfId="0" applyNumberFormat="1" applyFont="1" applyFill="1"/>
    <xf numFmtId="166" fontId="0" fillId="0" borderId="0" xfId="0" applyNumberFormat="1" applyAlignment="1">
      <alignment horizontal="left" indent="2"/>
    </xf>
    <xf numFmtId="166" fontId="4" fillId="0" borderId="3" xfId="1" applyNumberFormat="1" applyFont="1" applyBorder="1" applyProtection="1">
      <protection locked="0"/>
    </xf>
    <xf numFmtId="168" fontId="2" fillId="0" borderId="0" xfId="0" applyNumberFormat="1" applyFont="1" applyAlignment="1">
      <alignment horizontal="center"/>
    </xf>
    <xf numFmtId="10" fontId="2" fillId="0" borderId="0" xfId="0" applyNumberFormat="1" applyFont="1" applyAlignment="1">
      <alignment horizontal="center"/>
    </xf>
    <xf numFmtId="0" fontId="3" fillId="0" borderId="7" xfId="0" applyFont="1" applyBorder="1"/>
    <xf numFmtId="0" fontId="0" fillId="0" borderId="7" xfId="0" applyBorder="1"/>
    <xf numFmtId="175" fontId="0" fillId="0" borderId="7" xfId="0" applyNumberFormat="1" applyBorder="1"/>
    <xf numFmtId="168" fontId="5" fillId="0" borderId="7" xfId="0" applyNumberFormat="1" applyFont="1" applyBorder="1"/>
    <xf numFmtId="0" fontId="2" fillId="0" borderId="0" xfId="0" applyFont="1" applyAlignment="1">
      <alignment horizontal="center"/>
    </xf>
    <xf numFmtId="0" fontId="0" fillId="0" borderId="0" xfId="0" applyAlignment="1">
      <alignment horizontal="center"/>
    </xf>
    <xf numFmtId="0" fontId="8" fillId="0" borderId="0" xfId="0" applyFont="1" applyAlignment="1" applyProtection="1">
      <alignment horizontal="right"/>
      <protection locked="0"/>
    </xf>
    <xf numFmtId="0" fontId="5" fillId="0" borderId="0" xfId="0" applyFont="1" applyFill="1" applyBorder="1"/>
    <xf numFmtId="0" fontId="5" fillId="0" borderId="0" xfId="0" applyFont="1" applyAlignment="1">
      <alignment horizontal="center"/>
    </xf>
    <xf numFmtId="166" fontId="5" fillId="0" borderId="0" xfId="1" applyNumberFormat="1" applyFont="1" applyProtection="1"/>
    <xf numFmtId="0" fontId="16" fillId="0" borderId="0" xfId="0" applyFont="1"/>
    <xf numFmtId="1" fontId="0" fillId="0" borderId="0" xfId="0" applyNumberFormat="1"/>
    <xf numFmtId="169" fontId="5" fillId="0" borderId="0" xfId="0" applyNumberFormat="1" applyFont="1"/>
    <xf numFmtId="8" fontId="5" fillId="0" borderId="0" xfId="0" applyNumberFormat="1" applyFont="1"/>
    <xf numFmtId="0" fontId="12" fillId="0" borderId="0" xfId="0" applyFont="1"/>
    <xf numFmtId="0" fontId="7" fillId="0" borderId="0" xfId="0" applyFont="1" applyAlignment="1">
      <alignment horizontal="center"/>
    </xf>
    <xf numFmtId="166" fontId="3" fillId="0" borderId="0" xfId="1" applyNumberFormat="1" applyFont="1"/>
    <xf numFmtId="37" fontId="5" fillId="0" borderId="0" xfId="1" applyNumberFormat="1" applyFont="1" applyProtection="1"/>
    <xf numFmtId="0" fontId="9" fillId="0" borderId="0" xfId="0" applyFont="1" applyBorder="1" applyAlignment="1" applyProtection="1">
      <alignment horizontal="left"/>
      <protection locked="0"/>
    </xf>
    <xf numFmtId="0" fontId="3" fillId="0" borderId="5" xfId="0" applyFont="1" applyBorder="1" applyAlignment="1" applyProtection="1">
      <alignment horizontal="left"/>
      <protection locked="0"/>
    </xf>
    <xf numFmtId="174" fontId="12" fillId="0" borderId="0" xfId="0" applyNumberFormat="1" applyFont="1" applyBorder="1" applyAlignment="1" applyProtection="1">
      <alignment horizontal="center"/>
    </xf>
    <xf numFmtId="166" fontId="5" fillId="0" borderId="0" xfId="1" applyNumberFormat="1" applyFont="1" applyBorder="1" applyProtection="1"/>
    <xf numFmtId="8" fontId="5" fillId="0" borderId="0" xfId="1" applyNumberFormat="1" applyFont="1" applyAlignment="1" applyProtection="1">
      <alignment horizontal="right"/>
    </xf>
    <xf numFmtId="165" fontId="5" fillId="0" borderId="0" xfId="2" applyNumberFormat="1" applyFont="1" applyFill="1"/>
    <xf numFmtId="165" fontId="5" fillId="2" borderId="0" xfId="2" applyNumberFormat="1" applyFont="1" applyFill="1"/>
    <xf numFmtId="0" fontId="11" fillId="0" borderId="0" xfId="8" applyFont="1"/>
    <xf numFmtId="0" fontId="2" fillId="0" borderId="0" xfId="8" applyFont="1"/>
    <xf numFmtId="0" fontId="19" fillId="0" borderId="0" xfId="8" applyFont="1" applyProtection="1">
      <protection locked="0"/>
    </xf>
    <xf numFmtId="0" fontId="5" fillId="0" borderId="0" xfId="8" applyFont="1" applyAlignment="1" applyProtection="1">
      <alignment horizontal="center"/>
    </xf>
    <xf numFmtId="0" fontId="2" fillId="0" borderId="0" xfId="8" applyFont="1" applyAlignment="1" applyProtection="1">
      <alignment horizontal="center"/>
    </xf>
    <xf numFmtId="0" fontId="2" fillId="0" borderId="0" xfId="8" applyFont="1" applyAlignment="1" applyProtection="1">
      <alignment horizontal="center"/>
      <protection locked="0"/>
    </xf>
    <xf numFmtId="0" fontId="11" fillId="0" borderId="0" xfId="8" applyAlignment="1">
      <alignment horizontal="center"/>
    </xf>
    <xf numFmtId="0" fontId="11" fillId="0" borderId="0" xfId="8" applyFont="1" applyProtection="1">
      <protection locked="0"/>
    </xf>
    <xf numFmtId="0" fontId="5" fillId="0" borderId="0" xfId="8" applyFont="1" applyAlignment="1" applyProtection="1">
      <alignment horizontal="center"/>
      <protection locked="0"/>
    </xf>
    <xf numFmtId="164" fontId="18" fillId="0" borderId="0" xfId="8" applyNumberFormat="1" applyFont="1" applyProtection="1">
      <protection locked="0"/>
    </xf>
    <xf numFmtId="176" fontId="11" fillId="0" borderId="0" xfId="7" applyNumberFormat="1" applyFont="1" applyProtection="1"/>
    <xf numFmtId="166" fontId="18" fillId="0" borderId="0" xfId="8" applyNumberFormat="1" applyFont="1" applyProtection="1">
      <protection locked="0"/>
    </xf>
    <xf numFmtId="166" fontId="11" fillId="0" borderId="0" xfId="8" applyNumberFormat="1" applyFont="1" applyProtection="1"/>
    <xf numFmtId="9" fontId="11" fillId="0" borderId="0" xfId="2" applyFont="1" applyProtection="1"/>
    <xf numFmtId="0" fontId="21" fillId="0" borderId="0" xfId="8" applyFont="1" applyProtection="1">
      <protection locked="0"/>
    </xf>
    <xf numFmtId="2" fontId="11" fillId="0" borderId="0" xfId="8" applyNumberFormat="1" applyFont="1"/>
    <xf numFmtId="166" fontId="11" fillId="0" borderId="0" xfId="8" applyNumberFormat="1" applyFont="1"/>
    <xf numFmtId="0" fontId="22" fillId="0" borderId="0" xfId="8" applyFont="1" applyProtection="1">
      <protection locked="0"/>
    </xf>
    <xf numFmtId="0" fontId="11" fillId="0" borderId="0" xfId="8"/>
    <xf numFmtId="0" fontId="20" fillId="0" borderId="0" xfId="8" applyFont="1" applyAlignment="1" applyProtection="1">
      <alignment horizontal="left"/>
      <protection locked="0"/>
    </xf>
    <xf numFmtId="0" fontId="2" fillId="0" borderId="0" xfId="8" applyFont="1" applyBorder="1"/>
    <xf numFmtId="0" fontId="23" fillId="0" borderId="0" xfId="8" applyFont="1" applyProtection="1">
      <protection locked="0"/>
    </xf>
    <xf numFmtId="0" fontId="2" fillId="3" borderId="0" xfId="8" applyFont="1" applyFill="1"/>
    <xf numFmtId="2" fontId="2" fillId="0" borderId="0" xfId="8" applyNumberFormat="1" applyFont="1"/>
    <xf numFmtId="0" fontId="11" fillId="3" borderId="0" xfId="8" applyFont="1" applyFill="1"/>
    <xf numFmtId="166" fontId="2" fillId="3" borderId="0" xfId="8" applyNumberFormat="1" applyFont="1" applyFill="1"/>
    <xf numFmtId="0" fontId="2" fillId="0" borderId="0" xfId="8" applyFont="1" applyFill="1"/>
    <xf numFmtId="0" fontId="11" fillId="0" borderId="0" xfId="8" applyFont="1" applyFill="1"/>
    <xf numFmtId="166" fontId="2" fillId="0" borderId="0" xfId="8" applyNumberFormat="1" applyFont="1" applyFill="1"/>
    <xf numFmtId="165" fontId="2" fillId="0" borderId="0" xfId="2" applyNumberFormat="1" applyFont="1" applyFill="1" applyProtection="1"/>
    <xf numFmtId="1" fontId="18" fillId="0" borderId="0" xfId="8" applyNumberFormat="1" applyFont="1" applyProtection="1">
      <protection locked="0"/>
    </xf>
    <xf numFmtId="0" fontId="11" fillId="0" borderId="0" xfId="0" applyFont="1"/>
    <xf numFmtId="2" fontId="11" fillId="0" borderId="0" xfId="0" applyNumberFormat="1" applyFont="1"/>
    <xf numFmtId="0" fontId="18" fillId="0" borderId="0" xfId="8" applyFont="1" applyAlignment="1" applyProtection="1">
      <alignment horizontal="left"/>
      <protection locked="0"/>
    </xf>
    <xf numFmtId="177" fontId="2" fillId="3" borderId="0" xfId="8" applyNumberFormat="1" applyFont="1" applyFill="1"/>
    <xf numFmtId="164" fontId="2" fillId="3" borderId="0" xfId="8" applyNumberFormat="1" applyFont="1" applyFill="1"/>
    <xf numFmtId="0" fontId="11" fillId="0" borderId="0" xfId="8" applyFont="1" applyAlignment="1" applyProtection="1">
      <alignment horizontal="left"/>
    </xf>
    <xf numFmtId="0" fontId="26" fillId="0" borderId="0" xfId="0" applyFont="1"/>
    <xf numFmtId="0" fontId="25" fillId="0" borderId="0" xfId="0" applyFont="1"/>
    <xf numFmtId="1" fontId="2" fillId="0" borderId="0" xfId="8" applyNumberFormat="1" applyFont="1" applyProtection="1"/>
    <xf numFmtId="10" fontId="24" fillId="0" borderId="0" xfId="0" applyNumberFormat="1" applyFont="1"/>
    <xf numFmtId="1" fontId="11" fillId="0" borderId="0" xfId="0" applyNumberFormat="1" applyFont="1"/>
    <xf numFmtId="0" fontId="1" fillId="0" borderId="0" xfId="0" applyFont="1"/>
    <xf numFmtId="164" fontId="11" fillId="0" borderId="0" xfId="0" applyNumberFormat="1" applyFont="1"/>
    <xf numFmtId="176" fontId="5" fillId="0" borderId="0" xfId="7" applyNumberFormat="1" applyFont="1" applyBorder="1" applyAlignment="1" applyProtection="1">
      <alignment horizontal="left"/>
    </xf>
    <xf numFmtId="164" fontId="2" fillId="0" borderId="0" xfId="8" applyNumberFormat="1" applyFont="1" applyFill="1"/>
    <xf numFmtId="9" fontId="11" fillId="0" borderId="0" xfId="2" applyFont="1" applyFill="1" applyProtection="1"/>
    <xf numFmtId="164" fontId="2" fillId="0" borderId="0" xfId="0" applyNumberFormat="1" applyFont="1"/>
    <xf numFmtId="1" fontId="2" fillId="0" borderId="0" xfId="8" applyNumberFormat="1" applyFont="1"/>
    <xf numFmtId="1" fontId="11" fillId="0" borderId="0" xfId="8" applyNumberFormat="1" applyFont="1" applyProtection="1"/>
    <xf numFmtId="1" fontId="11" fillId="0" borderId="0" xfId="8" applyNumberFormat="1" applyFont="1" applyAlignment="1" applyProtection="1">
      <alignment horizontal="right"/>
    </xf>
    <xf numFmtId="164" fontId="12" fillId="0" borderId="0" xfId="8" applyNumberFormat="1" applyFont="1" applyProtection="1">
      <protection locked="0"/>
    </xf>
    <xf numFmtId="2" fontId="7" fillId="0" borderId="0" xfId="8" applyNumberFormat="1" applyFont="1"/>
    <xf numFmtId="2" fontId="2" fillId="0" borderId="0" xfId="8" applyNumberFormat="1" applyFont="1" applyFill="1"/>
    <xf numFmtId="0" fontId="27" fillId="0" borderId="0" xfId="0" applyFont="1"/>
    <xf numFmtId="0" fontId="12" fillId="0" borderId="0" xfId="0" applyFont="1" applyAlignment="1">
      <alignment horizontal="center"/>
    </xf>
    <xf numFmtId="0" fontId="13" fillId="0" borderId="0" xfId="0" applyFont="1" applyAlignment="1">
      <alignment horizontal="left" vertical="center" wrapText="1"/>
    </xf>
    <xf numFmtId="0" fontId="13" fillId="0" borderId="0" xfId="0" applyFont="1" applyAlignment="1">
      <alignment horizontal="justify" vertical="center"/>
    </xf>
    <xf numFmtId="0" fontId="14" fillId="0" borderId="0" xfId="0" applyFont="1" applyAlignment="1">
      <alignment horizontal="left" vertical="center" wrapText="1"/>
    </xf>
    <xf numFmtId="0" fontId="7" fillId="0" borderId="0" xfId="0" applyFont="1"/>
    <xf numFmtId="0" fontId="14" fillId="0" borderId="0" xfId="0" quotePrefix="1" applyFont="1" applyAlignment="1">
      <alignment horizontal="justify" vertical="center"/>
    </xf>
    <xf numFmtId="0" fontId="14" fillId="0" borderId="0" xfId="0" applyFont="1" applyAlignment="1">
      <alignment horizontal="justify" vertical="center"/>
    </xf>
    <xf numFmtId="8" fontId="3" fillId="0" borderId="0" xfId="0" applyNumberFormat="1" applyFont="1"/>
    <xf numFmtId="7" fontId="3" fillId="0" borderId="0" xfId="0" applyNumberFormat="1" applyFont="1"/>
    <xf numFmtId="6" fontId="5" fillId="0" borderId="0" xfId="0" applyNumberFormat="1" applyFont="1"/>
    <xf numFmtId="10" fontId="5" fillId="0" borderId="0" xfId="6" applyNumberFormat="1" applyFont="1"/>
    <xf numFmtId="165" fontId="5" fillId="0" borderId="0" xfId="0" applyNumberFormat="1" applyFont="1"/>
    <xf numFmtId="10" fontId="3" fillId="0" borderId="0" xfId="0" applyNumberFormat="1" applyFont="1"/>
    <xf numFmtId="0" fontId="7" fillId="0" borderId="0" xfId="0" applyFont="1" applyAlignment="1">
      <alignment wrapText="1"/>
    </xf>
    <xf numFmtId="0" fontId="12" fillId="0" borderId="0" xfId="0" applyFont="1" applyAlignment="1">
      <alignment wrapText="1"/>
    </xf>
    <xf numFmtId="0" fontId="13" fillId="0" borderId="0" xfId="0" applyFont="1" applyAlignment="1">
      <alignment wrapText="1"/>
    </xf>
    <xf numFmtId="8" fontId="5" fillId="0" borderId="0" xfId="0" applyNumberFormat="1" applyFont="1" applyBorder="1" applyProtection="1"/>
    <xf numFmtId="0" fontId="28" fillId="0" borderId="3" xfId="0" applyFont="1" applyBorder="1" applyAlignment="1" applyProtection="1">
      <alignment horizontal="left"/>
      <protection locked="0"/>
    </xf>
    <xf numFmtId="166" fontId="5" fillId="0" borderId="2" xfId="0" applyNumberFormat="1" applyFont="1" applyBorder="1" applyAlignment="1">
      <alignment horizontal="center"/>
    </xf>
    <xf numFmtId="0" fontId="5" fillId="0" borderId="0" xfId="0" applyFont="1" applyProtection="1"/>
    <xf numFmtId="0" fontId="2" fillId="0" borderId="0" xfId="0" applyFont="1" applyAlignment="1">
      <alignment horizontal="center"/>
    </xf>
    <xf numFmtId="0" fontId="0" fillId="0" borderId="0" xfId="0" applyAlignment="1">
      <alignment horizontal="center"/>
    </xf>
    <xf numFmtId="0" fontId="30" fillId="0" borderId="0" xfId="0" applyFont="1" applyAlignment="1"/>
    <xf numFmtId="0" fontId="31" fillId="0" borderId="0" xfId="0" applyFont="1"/>
    <xf numFmtId="0" fontId="11" fillId="0" borderId="0" xfId="0" applyFont="1" applyAlignment="1">
      <alignment horizontal="center"/>
    </xf>
    <xf numFmtId="0" fontId="11" fillId="0" borderId="0" xfId="0" applyFont="1" applyAlignment="1">
      <alignment horizontal="right"/>
    </xf>
    <xf numFmtId="174" fontId="32" fillId="0" borderId="0" xfId="0" applyNumberFormat="1" applyFont="1" applyAlignment="1" applyProtection="1">
      <alignment horizontal="left"/>
      <protection locked="0"/>
    </xf>
    <xf numFmtId="7" fontId="11" fillId="0" borderId="0" xfId="0" applyNumberFormat="1" applyFont="1" applyProtection="1"/>
    <xf numFmtId="170" fontId="32" fillId="0" borderId="0" xfId="0" applyNumberFormat="1" applyFont="1" applyProtection="1">
      <protection locked="0"/>
    </xf>
    <xf numFmtId="170" fontId="32" fillId="0" borderId="0" xfId="0" applyNumberFormat="1" applyFont="1" applyBorder="1" applyProtection="1">
      <protection locked="0"/>
    </xf>
    <xf numFmtId="168" fontId="11" fillId="0" borderId="0" xfId="0" applyNumberFormat="1" applyFont="1"/>
    <xf numFmtId="166" fontId="11" fillId="0" borderId="0" xfId="0" applyNumberFormat="1" applyFont="1"/>
    <xf numFmtId="170" fontId="18" fillId="0" borderId="0" xfId="0" applyNumberFormat="1" applyFont="1" applyProtection="1">
      <protection locked="0"/>
    </xf>
    <xf numFmtId="170" fontId="33" fillId="0" borderId="0" xfId="0" applyNumberFormat="1" applyFont="1" applyProtection="1">
      <protection locked="0"/>
    </xf>
    <xf numFmtId="177" fontId="11" fillId="0" borderId="0" xfId="7" applyNumberFormat="1" applyFont="1"/>
    <xf numFmtId="168" fontId="3" fillId="0" borderId="0" xfId="0" applyNumberFormat="1" applyFont="1"/>
    <xf numFmtId="166" fontId="2" fillId="0" borderId="0" xfId="0" applyNumberFormat="1" applyFont="1"/>
    <xf numFmtId="168" fontId="7" fillId="0" borderId="0" xfId="0" applyNumberFormat="1" applyFont="1"/>
    <xf numFmtId="7" fontId="11" fillId="0" borderId="0" xfId="0" applyNumberFormat="1" applyFont="1"/>
    <xf numFmtId="37" fontId="11" fillId="0" borderId="0" xfId="0" applyNumberFormat="1" applyFont="1" applyBorder="1" applyProtection="1"/>
    <xf numFmtId="7" fontId="0" fillId="0" borderId="0" xfId="0" applyNumberFormat="1" applyProtection="1"/>
    <xf numFmtId="37" fontId="11" fillId="0" borderId="0" xfId="0" applyNumberFormat="1" applyFont="1"/>
    <xf numFmtId="7" fontId="35" fillId="0" borderId="0" xfId="0" applyNumberFormat="1" applyFont="1" applyProtection="1"/>
    <xf numFmtId="8" fontId="0" fillId="0" borderId="0" xfId="0" applyNumberFormat="1" applyProtection="1"/>
    <xf numFmtId="37" fontId="34" fillId="0" borderId="9" xfId="0" applyNumberFormat="1" applyFont="1" applyBorder="1" applyProtection="1">
      <protection locked="0"/>
    </xf>
    <xf numFmtId="0" fontId="0" fillId="0" borderId="10" xfId="0" applyBorder="1"/>
    <xf numFmtId="37" fontId="11" fillId="0" borderId="0" xfId="0" applyNumberFormat="1" applyFont="1" applyBorder="1"/>
    <xf numFmtId="0" fontId="35" fillId="0" borderId="0" xfId="0" applyFont="1"/>
    <xf numFmtId="0" fontId="11" fillId="3" borderId="0" xfId="0" applyFont="1" applyFill="1"/>
    <xf numFmtId="0" fontId="0" fillId="3" borderId="0" xfId="0" applyFill="1"/>
    <xf numFmtId="7" fontId="11" fillId="0" borderId="11" xfId="0" applyNumberFormat="1" applyFont="1" applyBorder="1" applyProtection="1"/>
    <xf numFmtId="0" fontId="0" fillId="0" borderId="0" xfId="0" applyBorder="1" applyProtection="1"/>
    <xf numFmtId="7" fontId="11" fillId="0" borderId="0" xfId="0" applyNumberFormat="1" applyFont="1" applyBorder="1" applyProtection="1"/>
    <xf numFmtId="0" fontId="2" fillId="0" borderId="0" xfId="0" applyFont="1" applyFill="1" applyAlignment="1">
      <alignment horizontal="center"/>
    </xf>
    <xf numFmtId="8" fontId="36" fillId="0" borderId="0" xfId="0" applyNumberFormat="1" applyFont="1" applyFill="1" applyProtection="1"/>
    <xf numFmtId="0" fontId="0" fillId="0" borderId="0" xfId="0" applyFill="1"/>
    <xf numFmtId="7" fontId="36" fillId="0" borderId="0" xfId="0" applyNumberFormat="1" applyFont="1" applyFill="1" applyProtection="1"/>
    <xf numFmtId="37" fontId="34" fillId="0" borderId="13" xfId="0" applyNumberFormat="1" applyFont="1" applyBorder="1" applyProtection="1">
      <protection locked="0"/>
    </xf>
    <xf numFmtId="37" fontId="11" fillId="0" borderId="12" xfId="0" applyNumberFormat="1" applyFont="1" applyBorder="1" applyProtection="1"/>
    <xf numFmtId="8" fontId="5" fillId="0" borderId="0" xfId="1" applyNumberFormat="1" applyFont="1" applyProtection="1"/>
    <xf numFmtId="170" fontId="7" fillId="0" borderId="0" xfId="0" applyNumberFormat="1" applyFont="1" applyBorder="1" applyProtection="1"/>
    <xf numFmtId="170" fontId="3" fillId="0" borderId="0" xfId="0" applyNumberFormat="1" applyFont="1" applyBorder="1" applyProtection="1">
      <protection locked="0"/>
    </xf>
    <xf numFmtId="0" fontId="3" fillId="0" borderId="0" xfId="0" applyFont="1" applyBorder="1" applyProtection="1"/>
    <xf numFmtId="1" fontId="2" fillId="0" borderId="0" xfId="0" applyNumberFormat="1" applyFont="1" applyBorder="1" applyProtection="1"/>
    <xf numFmtId="0" fontId="5" fillId="0" borderId="0" xfId="0" applyFont="1" applyBorder="1" applyProtection="1"/>
    <xf numFmtId="165" fontId="11" fillId="0" borderId="0" xfId="2" applyNumberFormat="1" applyFont="1" applyBorder="1" applyProtection="1"/>
    <xf numFmtId="0" fontId="2" fillId="0" borderId="0" xfId="0" applyFont="1" applyAlignment="1">
      <alignment horizontal="center"/>
    </xf>
    <xf numFmtId="0" fontId="0" fillId="0" borderId="0" xfId="0" applyAlignment="1">
      <alignment horizontal="center"/>
    </xf>
    <xf numFmtId="165" fontId="12" fillId="0" borderId="0" xfId="2" applyNumberFormat="1" applyFont="1" applyAlignment="1">
      <alignment horizontal="center"/>
    </xf>
    <xf numFmtId="0" fontId="7" fillId="0" borderId="0" xfId="0" applyFont="1" applyAlignment="1"/>
    <xf numFmtId="165" fontId="12" fillId="0" borderId="0" xfId="2" applyNumberFormat="1" applyFont="1" applyAlignment="1">
      <alignment horizontal="left"/>
    </xf>
    <xf numFmtId="0" fontId="7" fillId="0" borderId="0" xfId="0" applyFont="1" applyAlignment="1">
      <alignment horizontal="left"/>
    </xf>
    <xf numFmtId="0" fontId="11" fillId="0" borderId="8" xfId="0" applyFont="1" applyBorder="1" applyAlignment="1">
      <alignment horizontal="left"/>
    </xf>
    <xf numFmtId="0" fontId="11" fillId="0" borderId="0" xfId="0" applyFont="1" applyAlignment="1">
      <alignment horizontal="left"/>
    </xf>
    <xf numFmtId="0" fontId="29" fillId="0" borderId="0" xfId="0" applyFont="1" applyAlignment="1">
      <alignment horizontal="center" wrapText="1"/>
    </xf>
    <xf numFmtId="0" fontId="30" fillId="0" borderId="0" xfId="0" applyFont="1" applyAlignment="1">
      <alignment horizontal="center" wrapText="1"/>
    </xf>
    <xf numFmtId="0" fontId="32" fillId="0" borderId="4"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lignment horizontal="left"/>
    </xf>
  </cellXfs>
  <cellStyles count="9">
    <cellStyle name="Comma" xfId="7" builtinId="3"/>
    <cellStyle name="Comma 2" xfId="4"/>
    <cellStyle name="Currency" xfId="1" builtinId="4"/>
    <cellStyle name="Currency 2" xfId="5"/>
    <cellStyle name="Normal" xfId="0" builtinId="0"/>
    <cellStyle name="Normal 2" xfId="3"/>
    <cellStyle name="Normal_Sheet1_1" xfId="8"/>
    <cellStyle name="Percent" xfId="2" builtinId="5"/>
    <cellStyle name="Percent 2" xfId="6"/>
  </cellStyles>
  <dxfs count="0"/>
  <tableStyles count="0" defaultTableStyle="TableStyleMedium2" defaultPivotStyle="PivotStyleLight16"/>
  <colors>
    <mruColors>
      <color rgb="FF0000FF"/>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Raised Preconditioned Calves - Areas of Major Costs Per Head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C73-44CD-93B4-EECC935429E2}"/>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C73-44CD-93B4-EECC935429E2}"/>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C73-44CD-93B4-EECC935429E2}"/>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5C73-44CD-93B4-EECC935429E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'3. Graph'!$B$34:$E$34</c:f>
              <c:strCache>
                <c:ptCount val="4"/>
                <c:pt idx="0">
                  <c:v>Calves Unweaned Calf Value</c:v>
                </c:pt>
                <c:pt idx="1">
                  <c:v>Health &amp; Feed Direct Costs</c:v>
                </c:pt>
                <c:pt idx="2">
                  <c:v>Indirect Cost</c:v>
                </c:pt>
                <c:pt idx="3">
                  <c:v>Finance Cost</c:v>
                </c:pt>
              </c:strCache>
            </c:strRef>
          </c:cat>
          <c:val>
            <c:numRef>
              <c:f>'3. Graph'!$B$35:$E$35</c:f>
              <c:numCache>
                <c:formatCode>"$"#,##0.00_);\("$"#,##0.00\)</c:formatCode>
                <c:ptCount val="4"/>
                <c:pt idx="0" formatCode="&quot;$&quot;#,##0.00_);[Red]\(&quot;$&quot;#,##0.00\)">
                  <c:v>815.0442240000001</c:v>
                </c:pt>
                <c:pt idx="1">
                  <c:v>59.25</c:v>
                </c:pt>
                <c:pt idx="2">
                  <c:v>33.75</c:v>
                </c:pt>
                <c:pt idx="3">
                  <c:v>4.7798001468493156</c:v>
                </c:pt>
              </c:numCache>
            </c:numRef>
          </c:val>
          <c:extLst>
            <c:ext xmlns:c16="http://schemas.microsoft.com/office/drawing/2014/chart" uri="{C3380CC4-5D6E-409C-BE32-E72D297353CC}">
              <c16:uniqueId val="{00000008-5C73-44CD-93B4-EECC935429E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xdr:rowOff>
    </xdr:from>
    <xdr:to>
      <xdr:col>1</xdr:col>
      <xdr:colOff>1257300</xdr:colOff>
      <xdr:row>1</xdr:row>
      <xdr:rowOff>310243</xdr:rowOff>
    </xdr:to>
    <xdr:pic>
      <xdr:nvPicPr>
        <xdr:cNvPr id="3" name="Picture 2" descr="TAMAgEX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943" y="195944"/>
          <a:ext cx="1257300" cy="31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70757</xdr:colOff>
      <xdr:row>0</xdr:row>
      <xdr:rowOff>130629</xdr:rowOff>
    </xdr:from>
    <xdr:to>
      <xdr:col>7</xdr:col>
      <xdr:colOff>707571</xdr:colOff>
      <xdr:row>30</xdr:row>
      <xdr:rowOff>59872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9"/>
  <sheetViews>
    <sheetView tabSelected="1" topLeftCell="A31" zoomScale="106" zoomScaleNormal="106" workbookViewId="0">
      <selection activeCell="F34" sqref="F34"/>
    </sheetView>
  </sheetViews>
  <sheetFormatPr defaultRowHeight="12.45" x14ac:dyDescent="0.3"/>
  <cols>
    <col min="1" max="1" width="2.765625" customWidth="1"/>
    <col min="2" max="2" width="31.84375" customWidth="1"/>
    <col min="3" max="3" width="10.3046875" customWidth="1"/>
    <col min="4" max="4" width="10.765625" customWidth="1"/>
    <col min="5" max="5" width="25.4609375" customWidth="1"/>
    <col min="6" max="6" width="10.69140625" customWidth="1"/>
    <col min="7" max="7" width="9.921875" customWidth="1"/>
  </cols>
  <sheetData>
    <row r="1" spans="2:10" ht="15.45" x14ac:dyDescent="0.4">
      <c r="B1" s="212" t="s">
        <v>41</v>
      </c>
      <c r="C1" s="213"/>
      <c r="D1" s="213"/>
      <c r="E1" s="213"/>
      <c r="F1" s="213"/>
      <c r="G1" s="213"/>
    </row>
    <row r="2" spans="2:10" ht="25" customHeight="1" x14ac:dyDescent="0.4">
      <c r="B2" s="70"/>
      <c r="C2" s="71"/>
      <c r="D2" s="71"/>
      <c r="E2" s="74" t="s">
        <v>77</v>
      </c>
      <c r="F2" s="52">
        <v>42587</v>
      </c>
      <c r="G2" s="70"/>
    </row>
    <row r="3" spans="2:10" ht="15.45" x14ac:dyDescent="0.4">
      <c r="B3" s="72" t="s">
        <v>69</v>
      </c>
      <c r="C3" s="43">
        <v>45</v>
      </c>
      <c r="D3" s="218" t="s">
        <v>70</v>
      </c>
      <c r="E3" s="219"/>
      <c r="F3" s="64"/>
      <c r="G3" s="65"/>
    </row>
    <row r="4" spans="2:10" ht="15.45" x14ac:dyDescent="0.4">
      <c r="B4" s="1"/>
      <c r="F4" s="35"/>
      <c r="G4" s="35"/>
    </row>
    <row r="5" spans="2:10" ht="15.45" x14ac:dyDescent="0.4">
      <c r="B5" s="1" t="s">
        <v>9</v>
      </c>
      <c r="C5" s="40" t="s">
        <v>185</v>
      </c>
      <c r="D5" s="41"/>
      <c r="E5" s="42"/>
      <c r="F5" s="43"/>
      <c r="G5" s="36"/>
    </row>
    <row r="6" spans="2:10" ht="15.45" x14ac:dyDescent="0.4">
      <c r="B6" s="1"/>
      <c r="C6" s="85" t="s">
        <v>97</v>
      </c>
      <c r="E6" s="84"/>
      <c r="F6" s="163" t="s">
        <v>186</v>
      </c>
      <c r="G6" s="36"/>
    </row>
    <row r="7" spans="2:10" ht="14.15" x14ac:dyDescent="0.35">
      <c r="B7" s="51" t="s">
        <v>96</v>
      </c>
      <c r="D7" s="52">
        <v>42644</v>
      </c>
      <c r="E7" s="51" t="s">
        <v>43</v>
      </c>
      <c r="F7" s="86">
        <f>D7+C3</f>
        <v>42689</v>
      </c>
      <c r="G7" s="81"/>
      <c r="J7" s="4" t="s">
        <v>182</v>
      </c>
    </row>
    <row r="8" spans="2:10" ht="14.15" x14ac:dyDescent="0.35">
      <c r="B8" s="2" t="s">
        <v>6</v>
      </c>
      <c r="C8" s="3">
        <v>550</v>
      </c>
      <c r="D8" s="4"/>
      <c r="E8" s="4" t="s">
        <v>12</v>
      </c>
      <c r="G8" s="80" t="s">
        <v>94</v>
      </c>
    </row>
    <row r="9" spans="2:10" x14ac:dyDescent="0.3">
      <c r="B9" s="2" t="s">
        <v>40</v>
      </c>
      <c r="C9" s="49">
        <v>4</v>
      </c>
      <c r="D9" t="s">
        <v>39</v>
      </c>
      <c r="E9" s="2" t="s">
        <v>22</v>
      </c>
      <c r="F9" s="15">
        <v>9</v>
      </c>
      <c r="I9" s="2" t="s">
        <v>127</v>
      </c>
    </row>
    <row r="10" spans="2:10" x14ac:dyDescent="0.3">
      <c r="B10" t="s">
        <v>21</v>
      </c>
      <c r="C10" s="77">
        <f>C8*(1-C9*0.01)</f>
        <v>528</v>
      </c>
      <c r="E10" s="2" t="s">
        <v>23</v>
      </c>
      <c r="F10" s="15">
        <v>3</v>
      </c>
    </row>
    <row r="11" spans="2:10" x14ac:dyDescent="0.3">
      <c r="B11" t="s">
        <v>103</v>
      </c>
      <c r="C11" s="63">
        <v>160</v>
      </c>
      <c r="E11" s="2"/>
      <c r="F11" s="15"/>
    </row>
    <row r="12" spans="2:10" x14ac:dyDescent="0.3">
      <c r="B12" t="s">
        <v>104</v>
      </c>
      <c r="C12" s="3">
        <v>550</v>
      </c>
      <c r="D12" s="2"/>
      <c r="E12" s="4" t="s">
        <v>27</v>
      </c>
      <c r="F12" s="17">
        <f>SUM(F9:F10)</f>
        <v>12</v>
      </c>
      <c r="G12" s="11">
        <f>F12/$F$39</f>
        <v>1.3146016847240115E-2</v>
      </c>
    </row>
    <row r="13" spans="2:10" x14ac:dyDescent="0.3">
      <c r="B13" s="2" t="s">
        <v>225</v>
      </c>
      <c r="C13" s="205">
        <f>'2. Weigh-Price Slide Calculator'!E21+'2. Weigh-Price Slide Calculator'!E23</f>
        <v>9</v>
      </c>
      <c r="D13" s="76"/>
      <c r="E13" t="s">
        <v>24</v>
      </c>
      <c r="F13" s="5">
        <v>0.15</v>
      </c>
    </row>
    <row r="14" spans="2:10" x14ac:dyDescent="0.3">
      <c r="B14" s="2" t="s">
        <v>150</v>
      </c>
      <c r="C14" s="88">
        <f>IF($C$10&gt;=$C$12,((($C$10-$C$12)*0.01*$C$13)*-1),((($C$12-$C$10)*0.01*$C$13)))</f>
        <v>1.98</v>
      </c>
      <c r="E14" s="2" t="s">
        <v>25</v>
      </c>
      <c r="F14" s="18">
        <v>15</v>
      </c>
    </row>
    <row r="15" spans="2:10" x14ac:dyDescent="0.3">
      <c r="B15" s="2" t="s">
        <v>63</v>
      </c>
      <c r="C15" s="87">
        <f>C11+C14</f>
        <v>161.97999999999999</v>
      </c>
      <c r="D15" s="2" t="s">
        <v>60</v>
      </c>
      <c r="E15" s="2" t="s">
        <v>26</v>
      </c>
      <c r="F15" s="82">
        <f>F14*F13</f>
        <v>2.25</v>
      </c>
      <c r="G15" s="11"/>
    </row>
    <row r="16" spans="2:10" x14ac:dyDescent="0.3">
      <c r="B16" s="2" t="s">
        <v>7</v>
      </c>
      <c r="C16" s="14">
        <v>0.04</v>
      </c>
      <c r="D16" s="45">
        <f>(C16*C15)</f>
        <v>6.4791999999999996</v>
      </c>
      <c r="E16" s="4" t="s">
        <v>44</v>
      </c>
      <c r="F16" s="17">
        <f>F12+F15</f>
        <v>14.25</v>
      </c>
      <c r="G16" s="11">
        <f>F16/$F$39</f>
        <v>1.5610895006097636E-2</v>
      </c>
      <c r="I16" s="30"/>
    </row>
    <row r="17" spans="2:9" x14ac:dyDescent="0.3">
      <c r="B17" s="2" t="s">
        <v>8</v>
      </c>
      <c r="C17" s="18">
        <v>6</v>
      </c>
      <c r="D17" s="45">
        <f>((C17/C10*100))</f>
        <v>1.1363636363636365</v>
      </c>
      <c r="E17" s="2" t="s">
        <v>76</v>
      </c>
      <c r="F17" s="83">
        <f>C3</f>
        <v>45</v>
      </c>
    </row>
    <row r="18" spans="2:9" x14ac:dyDescent="0.3">
      <c r="B18" s="2" t="s">
        <v>64</v>
      </c>
      <c r="C18" s="19">
        <f>(C15-D16-D17)</f>
        <v>154.36443636363637</v>
      </c>
      <c r="D18" s="71"/>
      <c r="E18" t="s">
        <v>28</v>
      </c>
      <c r="F18" s="15">
        <v>1</v>
      </c>
      <c r="I18" s="145" t="s">
        <v>226</v>
      </c>
    </row>
    <row r="19" spans="2:9" x14ac:dyDescent="0.3">
      <c r="B19" s="4" t="s">
        <v>87</v>
      </c>
      <c r="C19" s="19">
        <f>C18*C10*0.01</f>
        <v>815.0442240000001</v>
      </c>
      <c r="E19" s="4" t="s">
        <v>29</v>
      </c>
      <c r="F19" s="17">
        <f>F18*F17</f>
        <v>45</v>
      </c>
      <c r="G19" s="11">
        <f>F19/$F$39</f>
        <v>4.9297563177150429E-2</v>
      </c>
      <c r="I19" s="50"/>
    </row>
    <row r="20" spans="2:9" x14ac:dyDescent="0.3">
      <c r="E20" t="s">
        <v>38</v>
      </c>
      <c r="F20" s="15">
        <v>0</v>
      </c>
      <c r="I20" s="50"/>
    </row>
    <row r="21" spans="2:9" x14ac:dyDescent="0.3">
      <c r="B21" s="73" t="s">
        <v>71</v>
      </c>
      <c r="E21" s="4" t="s">
        <v>78</v>
      </c>
      <c r="F21" s="17">
        <f>F16+F19+F20</f>
        <v>59.25</v>
      </c>
      <c r="G21" s="11">
        <f>F21/$F$39</f>
        <v>6.4908458183248072E-2</v>
      </c>
    </row>
    <row r="22" spans="2:9" x14ac:dyDescent="0.3">
      <c r="B22" s="2" t="s">
        <v>72</v>
      </c>
      <c r="C22" s="13">
        <v>1.7</v>
      </c>
      <c r="I22" s="8"/>
    </row>
    <row r="23" spans="2:9" x14ac:dyDescent="0.3">
      <c r="B23" s="2" t="s">
        <v>73</v>
      </c>
      <c r="C23" s="7">
        <f>C22*F17</f>
        <v>76.5</v>
      </c>
      <c r="E23" s="4" t="s">
        <v>13</v>
      </c>
      <c r="I23" s="2" t="s">
        <v>93</v>
      </c>
    </row>
    <row r="24" spans="2:9" x14ac:dyDescent="0.3">
      <c r="B24" s="2" t="s">
        <v>74</v>
      </c>
      <c r="C24" s="7">
        <f>C23+C8</f>
        <v>626.5</v>
      </c>
      <c r="E24" s="2" t="s">
        <v>30</v>
      </c>
      <c r="F24" s="15">
        <v>0.5</v>
      </c>
      <c r="I24" s="16">
        <f>F21/I37</f>
        <v>1.0245494144073268</v>
      </c>
    </row>
    <row r="25" spans="2:9" x14ac:dyDescent="0.3">
      <c r="B25" s="2" t="s">
        <v>75</v>
      </c>
      <c r="C25" s="14">
        <v>0.02</v>
      </c>
      <c r="D25" s="46" t="s">
        <v>14</v>
      </c>
      <c r="E25" s="2" t="s">
        <v>31</v>
      </c>
      <c r="F25" s="15">
        <v>0.25</v>
      </c>
    </row>
    <row r="26" spans="2:9" x14ac:dyDescent="0.3">
      <c r="B26" s="2" t="s">
        <v>149</v>
      </c>
      <c r="C26" s="39">
        <f>C24*(1-C25)</f>
        <v>613.97</v>
      </c>
      <c r="D26" s="44">
        <f>IF(C22=0,0,((C26-C8)/F17))</f>
        <v>1.4215555555555561</v>
      </c>
      <c r="E26" s="4" t="s">
        <v>79</v>
      </c>
      <c r="F26" s="47">
        <f>F25*F17+F24*F17</f>
        <v>33.75</v>
      </c>
      <c r="G26" s="11">
        <f>F26/$F$39</f>
        <v>3.6973172382862823E-2</v>
      </c>
      <c r="I26" s="2" t="s">
        <v>19</v>
      </c>
    </row>
    <row r="27" spans="2:9" x14ac:dyDescent="0.3">
      <c r="B27" s="2" t="s">
        <v>103</v>
      </c>
      <c r="C27" s="162">
        <f>C11</f>
        <v>160</v>
      </c>
      <c r="E27" s="4"/>
      <c r="F27" s="47"/>
      <c r="G27" s="11"/>
      <c r="I27" s="2"/>
    </row>
    <row r="28" spans="2:9" x14ac:dyDescent="0.3">
      <c r="B28" t="s">
        <v>104</v>
      </c>
      <c r="C28" s="165">
        <f>C12</f>
        <v>550</v>
      </c>
      <c r="E28" s="4"/>
      <c r="F28" s="47"/>
      <c r="G28" s="11"/>
      <c r="I28" s="2"/>
    </row>
    <row r="29" spans="2:9" x14ac:dyDescent="0.3">
      <c r="B29" s="2" t="s">
        <v>225</v>
      </c>
      <c r="C29" s="205">
        <f>'2. Weigh-Price Slide Calculator'!G21+'2. Weigh-Price Slide Calculator'!G23</f>
        <v>5</v>
      </c>
      <c r="D29" s="44"/>
      <c r="E29" s="4"/>
      <c r="F29" s="47"/>
      <c r="G29" s="11"/>
      <c r="I29" s="2"/>
    </row>
    <row r="30" spans="2:9" x14ac:dyDescent="0.3">
      <c r="B30" s="2" t="s">
        <v>150</v>
      </c>
      <c r="C30" s="88">
        <f>IF($C$26&gt;=$C$28,((($C$26-$C$28)*0.01*$C$29)*-1),((($C$28-$C$26)*0.01*$C$29)))</f>
        <v>-3.1985000000000015</v>
      </c>
      <c r="D30" s="46"/>
      <c r="I30" t="s">
        <v>5</v>
      </c>
    </row>
    <row r="31" spans="2:9" x14ac:dyDescent="0.3">
      <c r="B31" s="2" t="s">
        <v>85</v>
      </c>
      <c r="C31" s="18">
        <v>10</v>
      </c>
      <c r="D31" s="44"/>
      <c r="E31" s="4"/>
    </row>
    <row r="32" spans="2:9" x14ac:dyDescent="0.3">
      <c r="B32" s="4" t="s">
        <v>61</v>
      </c>
      <c r="C32" s="75">
        <f>(C27+C30+C31)</f>
        <v>166.8015</v>
      </c>
      <c r="D32" s="74" t="s">
        <v>62</v>
      </c>
      <c r="E32" s="4" t="s">
        <v>105</v>
      </c>
    </row>
    <row r="33" spans="2:10" x14ac:dyDescent="0.3">
      <c r="B33" s="2" t="s">
        <v>42</v>
      </c>
      <c r="C33" s="49">
        <v>2.5</v>
      </c>
      <c r="D33" s="45">
        <f>(C33*0.01*C32)</f>
        <v>4.1700375000000003</v>
      </c>
      <c r="E33" s="2" t="s">
        <v>32</v>
      </c>
      <c r="F33" s="14">
        <v>4.4999999999999998E-2</v>
      </c>
    </row>
    <row r="34" spans="2:10" ht="12.9" thickBot="1" x14ac:dyDescent="0.35">
      <c r="B34" s="2" t="s">
        <v>187</v>
      </c>
      <c r="C34" s="18">
        <v>2</v>
      </c>
      <c r="D34" s="45">
        <f>(C34/C26)*100</f>
        <v>0.32574881508868508</v>
      </c>
      <c r="E34" s="4" t="s">
        <v>33</v>
      </c>
      <c r="F34" s="19">
        <f>C44*F33</f>
        <v>4.7798001468493156</v>
      </c>
      <c r="G34" s="11">
        <f>F34/$F$39</f>
        <v>5.2362777714101564E-3</v>
      </c>
      <c r="H34" s="6"/>
    </row>
    <row r="35" spans="2:10" ht="12.9" thickTop="1" x14ac:dyDescent="0.3">
      <c r="E35" s="4" t="s">
        <v>80</v>
      </c>
      <c r="F35" s="38">
        <f>F21+F26+F34</f>
        <v>97.779800146849311</v>
      </c>
      <c r="G35" s="11">
        <f>F35/$F$39</f>
        <v>0.10711790833752105</v>
      </c>
      <c r="H35" s="6"/>
      <c r="I35" s="2" t="s">
        <v>3</v>
      </c>
    </row>
    <row r="36" spans="2:10" x14ac:dyDescent="0.3">
      <c r="H36" s="6"/>
      <c r="I36" s="9">
        <f>G35+G37</f>
        <v>1</v>
      </c>
      <c r="J36" s="2" t="s">
        <v>1</v>
      </c>
    </row>
    <row r="37" spans="2:10" x14ac:dyDescent="0.3">
      <c r="B37" s="56" t="s">
        <v>151</v>
      </c>
      <c r="C37" s="57">
        <f>$C$32-$D$33-$D$34</f>
        <v>162.30571368491132</v>
      </c>
      <c r="D37" s="55"/>
      <c r="E37" s="4" t="s">
        <v>88</v>
      </c>
      <c r="F37" s="22">
        <f>C19</f>
        <v>815.0442240000001</v>
      </c>
      <c r="G37" s="11">
        <f>F37/$F$39</f>
        <v>0.892882091662479</v>
      </c>
      <c r="H37" s="6"/>
      <c r="I37" s="33">
        <f>(C39-C8)</f>
        <v>57.830299999999966</v>
      </c>
      <c r="J37" s="2" t="s">
        <v>45</v>
      </c>
    </row>
    <row r="38" spans="2:10" x14ac:dyDescent="0.3">
      <c r="B38" s="2" t="s">
        <v>91</v>
      </c>
      <c r="C38" s="49">
        <v>1</v>
      </c>
      <c r="D38" s="2" t="s">
        <v>92</v>
      </c>
      <c r="E38" s="2"/>
      <c r="F38" s="23" t="s">
        <v>84</v>
      </c>
      <c r="G38" s="17" t="s">
        <v>81</v>
      </c>
      <c r="H38" s="6"/>
      <c r="I38" s="30">
        <f>(F35/I37)</f>
        <v>1.6908056874484374</v>
      </c>
    </row>
    <row r="39" spans="2:10" ht="12.9" thickBot="1" x14ac:dyDescent="0.35">
      <c r="B39" s="2" t="s">
        <v>11</v>
      </c>
      <c r="C39" s="39">
        <f>(1-($C$38*0.01))*$C$26</f>
        <v>607.83029999999997</v>
      </c>
      <c r="D39" s="8">
        <f>C39-C8</f>
        <v>57.830299999999966</v>
      </c>
      <c r="E39" s="4" t="s">
        <v>90</v>
      </c>
      <c r="F39" s="78">
        <f>F35+F37</f>
        <v>912.82402414684941</v>
      </c>
      <c r="G39" s="19">
        <f>((F39/$C$39)*100)</f>
        <v>150.17744659107146</v>
      </c>
      <c r="H39" s="6"/>
    </row>
    <row r="40" spans="2:10" ht="13.3" thickTop="1" thickBot="1" x14ac:dyDescent="0.35">
      <c r="B40" s="4" t="s">
        <v>189</v>
      </c>
      <c r="C40" s="48">
        <f>C37*C39*0.01</f>
        <v>986.54330640813748</v>
      </c>
      <c r="D40" s="164">
        <f>((C40/C39)*100)</f>
        <v>162.30571368491132</v>
      </c>
      <c r="E40" s="2" t="s">
        <v>15</v>
      </c>
      <c r="F40" s="25">
        <f>C40</f>
        <v>986.54330640813748</v>
      </c>
      <c r="G40" s="19">
        <f>((F40/$C$39)*100)</f>
        <v>162.30571368491132</v>
      </c>
      <c r="H40" s="6"/>
      <c r="I40" s="2" t="s">
        <v>89</v>
      </c>
    </row>
    <row r="41" spans="2:10" ht="12.9" thickTop="1" x14ac:dyDescent="0.3">
      <c r="E41" s="4" t="s">
        <v>86</v>
      </c>
      <c r="F41" s="17">
        <f>F40-F39</f>
        <v>73.719282261288072</v>
      </c>
      <c r="G41" s="79">
        <f>((F41/$C$39)*100)</f>
        <v>12.128267093839856</v>
      </c>
      <c r="I41" s="2"/>
    </row>
    <row r="42" spans="2:10" x14ac:dyDescent="0.3">
      <c r="E42" s="4"/>
      <c r="F42" s="17"/>
      <c r="G42" s="16"/>
      <c r="I42" s="30"/>
    </row>
    <row r="43" spans="2:10" x14ac:dyDescent="0.3">
      <c r="E43" s="4" t="s">
        <v>2</v>
      </c>
      <c r="F43" s="23" t="s">
        <v>84</v>
      </c>
      <c r="G43" s="16"/>
      <c r="I43" s="30"/>
    </row>
    <row r="44" spans="2:10" x14ac:dyDescent="0.3">
      <c r="B44" s="2" t="s">
        <v>82</v>
      </c>
      <c r="C44" s="21">
        <f>(($C$19+($F$21+$F$26)*0.5))*$F$17/365</f>
        <v>106.2177810410959</v>
      </c>
      <c r="D44" s="4"/>
      <c r="E44" s="2" t="s">
        <v>34</v>
      </c>
      <c r="F44" s="26">
        <f>F40-F37</f>
        <v>171.49908240813738</v>
      </c>
      <c r="G44" s="16"/>
    </row>
    <row r="45" spans="2:10" ht="12.9" thickBot="1" x14ac:dyDescent="0.35">
      <c r="B45" s="2" t="s">
        <v>59</v>
      </c>
      <c r="C45" s="16">
        <f>F47+F34</f>
        <v>78.499082408137383</v>
      </c>
      <c r="D45" s="4"/>
      <c r="E45" s="2" t="s">
        <v>35</v>
      </c>
      <c r="F45" s="27">
        <f>F35</f>
        <v>97.779800146849311</v>
      </c>
      <c r="G45" s="16"/>
    </row>
    <row r="46" spans="2:10" ht="12.9" thickTop="1" x14ac:dyDescent="0.3">
      <c r="E46" s="2"/>
      <c r="F46" s="26"/>
      <c r="G46" s="17" t="s">
        <v>81</v>
      </c>
    </row>
    <row r="47" spans="2:10" x14ac:dyDescent="0.3">
      <c r="B47" s="56" t="s">
        <v>36</v>
      </c>
      <c r="C47" s="90">
        <f>((F41+F34)/C44)</f>
        <v>0.73903899741386903</v>
      </c>
      <c r="D47" s="17"/>
      <c r="E47" s="56" t="s">
        <v>68</v>
      </c>
      <c r="F47" s="61">
        <f>F40-F39</f>
        <v>73.719282261288072</v>
      </c>
      <c r="G47" s="61">
        <f>((F47/C39)*100)</f>
        <v>12.128267093839856</v>
      </c>
    </row>
    <row r="48" spans="2:10" x14ac:dyDescent="0.3">
      <c r="B48" s="4"/>
      <c r="C48" s="10"/>
      <c r="D48" s="17"/>
      <c r="E48" s="4"/>
      <c r="F48" s="17"/>
      <c r="G48" s="37"/>
    </row>
    <row r="49" spans="2:10" x14ac:dyDescent="0.3">
      <c r="B49" s="34" t="s">
        <v>66</v>
      </c>
      <c r="C49" s="53">
        <f>IF($D$26&lt;=0,("No Gain"),((C40-C19)/I37))</f>
        <v>2.9655575435046591</v>
      </c>
      <c r="D49" s="17"/>
      <c r="E49" s="34" t="s">
        <v>67</v>
      </c>
      <c r="F49" s="53">
        <f>IF($D$26&lt;=0,("No Gain"),(I38))</f>
        <v>1.6908056874484374</v>
      </c>
      <c r="G49" s="37"/>
    </row>
    <row r="50" spans="2:10" x14ac:dyDescent="0.3">
      <c r="B50" s="4" t="s">
        <v>20</v>
      </c>
      <c r="C50" s="11"/>
      <c r="D50" s="4"/>
      <c r="E50" s="4"/>
      <c r="F50" s="24"/>
      <c r="G50" s="20"/>
    </row>
    <row r="51" spans="2:10" ht="14.15" x14ac:dyDescent="0.35">
      <c r="B51" s="4"/>
      <c r="C51" s="214" t="s">
        <v>83</v>
      </c>
      <c r="D51" s="215"/>
      <c r="E51" s="2"/>
      <c r="F51" s="216" t="s">
        <v>53</v>
      </c>
      <c r="G51" s="217"/>
    </row>
    <row r="52" spans="2:10" x14ac:dyDescent="0.3">
      <c r="B52" s="4" t="s">
        <v>37</v>
      </c>
      <c r="C52" s="58" t="s">
        <v>4</v>
      </c>
      <c r="D52" s="58" t="s">
        <v>62</v>
      </c>
      <c r="E52" s="2" t="s">
        <v>54</v>
      </c>
      <c r="F52" s="30">
        <f>C31</f>
        <v>10</v>
      </c>
      <c r="G52" s="34" t="s">
        <v>55</v>
      </c>
      <c r="H52" s="24"/>
    </row>
    <row r="53" spans="2:10" x14ac:dyDescent="0.3">
      <c r="B53" s="4" t="s">
        <v>56</v>
      </c>
      <c r="C53" s="54">
        <v>25</v>
      </c>
      <c r="D53" s="32">
        <f>D62</f>
        <v>154.29043668057506</v>
      </c>
      <c r="E53" s="2" t="s">
        <v>57</v>
      </c>
      <c r="F53" s="19">
        <f>D61</f>
        <v>-8.0152770043362551</v>
      </c>
      <c r="G53" s="89">
        <f>((C53+F34)/C44)</f>
        <v>0.28036548923317689</v>
      </c>
      <c r="H53" s="24"/>
      <c r="I53" s="16"/>
    </row>
    <row r="54" spans="2:10" ht="12.9" thickBot="1" x14ac:dyDescent="0.35">
      <c r="B54" s="4"/>
      <c r="C54" s="54"/>
      <c r="D54" s="59"/>
      <c r="E54" s="60" t="s">
        <v>58</v>
      </c>
      <c r="F54" s="57">
        <f>F52+F53</f>
        <v>1.9847229956637449</v>
      </c>
      <c r="G54" s="20"/>
      <c r="I54" s="30"/>
      <c r="J54" s="2" t="s">
        <v>47</v>
      </c>
    </row>
    <row r="55" spans="2:10" ht="12.9" thickTop="1" x14ac:dyDescent="0.3">
      <c r="B55" s="66"/>
      <c r="C55" s="67"/>
      <c r="D55" s="68"/>
      <c r="E55" s="67"/>
      <c r="F55" s="69"/>
      <c r="G55" s="67"/>
    </row>
    <row r="56" spans="2:10" x14ac:dyDescent="0.3">
      <c r="B56" s="2" t="s">
        <v>65</v>
      </c>
      <c r="D56" s="12"/>
    </row>
    <row r="57" spans="2:10" ht="12.9" thickBot="1" x14ac:dyDescent="0.35">
      <c r="B57" s="4" t="s">
        <v>10</v>
      </c>
      <c r="C57" s="28">
        <f>G35</f>
        <v>0.10711790833752105</v>
      </c>
      <c r="D57" s="2" t="s">
        <v>0</v>
      </c>
    </row>
    <row r="58" spans="2:10" ht="12.9" thickTop="1" x14ac:dyDescent="0.3">
      <c r="B58" s="66"/>
      <c r="C58" s="67"/>
      <c r="D58" s="68"/>
      <c r="E58" s="67"/>
      <c r="F58" s="69"/>
      <c r="G58" s="67"/>
    </row>
    <row r="59" spans="2:10" x14ac:dyDescent="0.3">
      <c r="C59" s="4" t="s">
        <v>48</v>
      </c>
    </row>
    <row r="60" spans="2:10" x14ac:dyDescent="0.3">
      <c r="C60" s="2" t="s">
        <v>49</v>
      </c>
      <c r="D60" s="2" t="s">
        <v>50</v>
      </c>
    </row>
    <row r="61" spans="2:10" x14ac:dyDescent="0.3">
      <c r="C61" s="57">
        <f>$C$32-$D$33-$D$34</f>
        <v>162.30571368491132</v>
      </c>
      <c r="D61" s="31">
        <f>((C53-F47)/C39)*100</f>
        <v>-8.0152770043362551</v>
      </c>
      <c r="E61" s="2" t="s">
        <v>51</v>
      </c>
    </row>
    <row r="62" spans="2:10" x14ac:dyDescent="0.3">
      <c r="B62" s="4"/>
      <c r="C62" s="2" t="s">
        <v>62</v>
      </c>
      <c r="D62" s="62">
        <f>C61+D61</f>
        <v>154.29043668057506</v>
      </c>
    </row>
    <row r="63" spans="2:10" x14ac:dyDescent="0.3">
      <c r="C63" s="2" t="s">
        <v>95</v>
      </c>
      <c r="D63" s="8">
        <f>$C$39</f>
        <v>607.83029999999997</v>
      </c>
      <c r="E63" s="2" t="s">
        <v>52</v>
      </c>
    </row>
    <row r="64" spans="2:10" x14ac:dyDescent="0.3">
      <c r="C64" s="2" t="s">
        <v>46</v>
      </c>
      <c r="D64" s="19">
        <f>D62*C39*0.01</f>
        <v>937.82402414684941</v>
      </c>
      <c r="E64" s="2" t="s">
        <v>102</v>
      </c>
    </row>
    <row r="65" spans="2:5" x14ac:dyDescent="0.3">
      <c r="C65" s="2" t="s">
        <v>99</v>
      </c>
      <c r="D65" s="30">
        <f>F39</f>
        <v>912.82402414684941</v>
      </c>
    </row>
    <row r="66" spans="2:5" x14ac:dyDescent="0.3">
      <c r="C66" s="4" t="s">
        <v>101</v>
      </c>
      <c r="D66" s="78">
        <f>D64-D65</f>
        <v>25</v>
      </c>
      <c r="E66" s="4" t="s">
        <v>98</v>
      </c>
    </row>
    <row r="67" spans="2:5" x14ac:dyDescent="0.3">
      <c r="D67" s="29"/>
      <c r="E67" s="2"/>
    </row>
    <row r="68" spans="2:5" x14ac:dyDescent="0.3">
      <c r="B68" s="2" t="s">
        <v>100</v>
      </c>
    </row>
    <row r="69" spans="2:5" x14ac:dyDescent="0.3">
      <c r="C69" s="2"/>
      <c r="D69" s="30"/>
    </row>
  </sheetData>
  <sheetProtection sheet="1" objects="1" scenarios="1"/>
  <mergeCells count="4">
    <mergeCell ref="B1:G1"/>
    <mergeCell ref="C51:D51"/>
    <mergeCell ref="F51:G51"/>
    <mergeCell ref="D3:E3"/>
  </mergeCells>
  <pageMargins left="0.7" right="0.7" top="0.75" bottom="0.75" header="0.3" footer="0.3"/>
  <pageSetup scale="90" orientation="portrait" r:id="rId1"/>
  <headerFoot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6"/>
  <sheetViews>
    <sheetView topLeftCell="A12" workbookViewId="0">
      <selection activeCell="F31" sqref="F31"/>
    </sheetView>
  </sheetViews>
  <sheetFormatPr defaultRowHeight="12.45" x14ac:dyDescent="0.3"/>
  <cols>
    <col min="1" max="1" width="3.4609375" customWidth="1"/>
    <col min="2" max="2" width="35.765625" customWidth="1"/>
    <col min="4" max="4" width="12.765625" customWidth="1"/>
    <col min="5" max="5" width="11.3046875" customWidth="1"/>
    <col min="6" max="6" width="11.765625" customWidth="1"/>
    <col min="7" max="7" width="12.53515625" customWidth="1"/>
  </cols>
  <sheetData>
    <row r="2" spans="2:16" ht="17.600000000000001" x14ac:dyDescent="0.4">
      <c r="B2" s="220" t="s">
        <v>191</v>
      </c>
      <c r="C2" s="221"/>
      <c r="D2" s="221"/>
      <c r="E2" s="221"/>
      <c r="F2" s="221"/>
      <c r="G2" s="221"/>
      <c r="H2" s="167"/>
      <c r="I2" s="167"/>
      <c r="J2" s="167"/>
      <c r="K2" s="167"/>
      <c r="L2" s="167"/>
      <c r="M2" s="167"/>
      <c r="N2" s="167"/>
      <c r="O2" s="167"/>
      <c r="P2" s="168"/>
    </row>
    <row r="3" spans="2:16" ht="22.75" x14ac:dyDescent="0.55000000000000004">
      <c r="G3" s="169"/>
      <c r="H3" s="169"/>
      <c r="I3" s="169"/>
      <c r="J3" s="169"/>
      <c r="K3" s="169"/>
      <c r="L3" s="169"/>
      <c r="M3" s="169"/>
      <c r="N3" s="169"/>
      <c r="O3" s="169"/>
      <c r="P3" s="169"/>
    </row>
    <row r="4" spans="2:16" ht="15.45" x14ac:dyDescent="0.4">
      <c r="B4" s="1" t="s">
        <v>192</v>
      </c>
      <c r="I4" s="170" t="s">
        <v>193</v>
      </c>
      <c r="L4" s="2" t="s">
        <v>194</v>
      </c>
      <c r="M4" s="2" t="s">
        <v>71</v>
      </c>
    </row>
    <row r="5" spans="2:16" ht="15" x14ac:dyDescent="0.35">
      <c r="B5" s="171" t="s">
        <v>195</v>
      </c>
      <c r="C5" s="222" t="s">
        <v>196</v>
      </c>
      <c r="D5" s="223"/>
      <c r="E5" s="224"/>
      <c r="F5" s="172">
        <v>42587</v>
      </c>
      <c r="G5" s="170"/>
      <c r="H5" s="170" t="s">
        <v>197</v>
      </c>
      <c r="I5" s="170" t="s">
        <v>198</v>
      </c>
      <c r="K5" s="170" t="s">
        <v>197</v>
      </c>
      <c r="L5" s="122" t="s">
        <v>199</v>
      </c>
      <c r="M5" s="122" t="s">
        <v>199</v>
      </c>
    </row>
    <row r="6" spans="2:16" ht="15" x14ac:dyDescent="0.35">
      <c r="B6" s="171" t="s">
        <v>200</v>
      </c>
      <c r="C6" s="170"/>
      <c r="D6" s="170" t="s">
        <v>201</v>
      </c>
      <c r="E6" s="170" t="s">
        <v>202</v>
      </c>
      <c r="F6" s="170" t="s">
        <v>202</v>
      </c>
      <c r="G6" s="170" t="s">
        <v>201</v>
      </c>
      <c r="H6" s="170" t="s">
        <v>202</v>
      </c>
      <c r="I6" s="170" t="s">
        <v>203</v>
      </c>
      <c r="K6" s="170" t="s">
        <v>204</v>
      </c>
      <c r="L6" s="173" t="s">
        <v>205</v>
      </c>
      <c r="M6" s="173" t="s">
        <v>205</v>
      </c>
    </row>
    <row r="7" spans="2:16" ht="15" x14ac:dyDescent="0.35">
      <c r="B7" s="122">
        <v>400</v>
      </c>
      <c r="C7" s="122">
        <v>500</v>
      </c>
      <c r="D7" s="122">
        <f t="shared" ref="D7:D10" si="0">(B7+C7)/2</f>
        <v>450</v>
      </c>
      <c r="E7" s="174">
        <v>158</v>
      </c>
      <c r="F7" s="175">
        <v>172</v>
      </c>
      <c r="G7" s="176">
        <f t="shared" ref="G7:G10" si="1">(E7+F7)*0.5</f>
        <v>165</v>
      </c>
      <c r="H7" s="122"/>
      <c r="I7" s="176">
        <f t="shared" ref="I7:I10" si="2">F7-E7</f>
        <v>14</v>
      </c>
      <c r="K7" s="176"/>
    </row>
    <row r="8" spans="2:16" ht="15" x14ac:dyDescent="0.35">
      <c r="B8" s="122">
        <v>500</v>
      </c>
      <c r="C8" s="122">
        <v>600</v>
      </c>
      <c r="D8" s="122">
        <f t="shared" si="0"/>
        <v>550</v>
      </c>
      <c r="E8" s="174">
        <v>150</v>
      </c>
      <c r="F8" s="175">
        <v>162</v>
      </c>
      <c r="G8" s="176">
        <f t="shared" si="1"/>
        <v>156</v>
      </c>
      <c r="H8" s="176">
        <f>K8*100</f>
        <v>9</v>
      </c>
      <c r="I8" s="176">
        <f t="shared" si="2"/>
        <v>12</v>
      </c>
      <c r="K8" s="176">
        <f>(G7-G8)/100</f>
        <v>0.09</v>
      </c>
      <c r="L8" s="177">
        <f>IF($E$15&lt;=550,$H$8,0)</f>
        <v>9</v>
      </c>
      <c r="M8" s="177">
        <f>IF($G$15&lt;=550,$H$8,0)</f>
        <v>0</v>
      </c>
    </row>
    <row r="9" spans="2:16" ht="15" x14ac:dyDescent="0.35">
      <c r="B9" s="122">
        <v>600</v>
      </c>
      <c r="C9" s="122">
        <v>700</v>
      </c>
      <c r="D9" s="122">
        <f t="shared" si="0"/>
        <v>650</v>
      </c>
      <c r="E9" s="174">
        <v>145</v>
      </c>
      <c r="F9" s="174">
        <v>157</v>
      </c>
      <c r="G9" s="176">
        <f t="shared" si="1"/>
        <v>151</v>
      </c>
      <c r="H9" s="176">
        <f>K9*100</f>
        <v>5</v>
      </c>
      <c r="I9" s="176">
        <f t="shared" si="2"/>
        <v>12</v>
      </c>
      <c r="K9" s="176">
        <f>(G8-G9)/100</f>
        <v>0.05</v>
      </c>
      <c r="L9" s="177">
        <f>IF(AND($E$15&gt;=551,$E$15&lt;=650),$H$9,0)</f>
        <v>0</v>
      </c>
      <c r="M9" s="177">
        <f>IF(AND($G$15&gt;=551,$G$15&lt;=650),$H$9,0)</f>
        <v>5</v>
      </c>
    </row>
    <row r="10" spans="2:16" ht="15" x14ac:dyDescent="0.35">
      <c r="B10" s="122">
        <v>700</v>
      </c>
      <c r="C10" s="122">
        <v>800</v>
      </c>
      <c r="D10" s="122">
        <f t="shared" si="0"/>
        <v>750</v>
      </c>
      <c r="E10" s="178">
        <v>143</v>
      </c>
      <c r="F10" s="179">
        <v>153</v>
      </c>
      <c r="G10" s="176">
        <f t="shared" si="1"/>
        <v>148</v>
      </c>
      <c r="H10" s="176">
        <f>K10*100</f>
        <v>3</v>
      </c>
      <c r="I10" s="176">
        <f t="shared" si="2"/>
        <v>10</v>
      </c>
      <c r="K10" s="176">
        <f>(G9-G10)/100</f>
        <v>0.03</v>
      </c>
      <c r="L10" s="177">
        <f>IF(AND($E$15&gt;=651,$E$15&lt;=700),$H$10,0)</f>
        <v>0</v>
      </c>
      <c r="M10" s="177">
        <f>IF(AND($G$15&gt;=651,$G$15&lt;=700),$H$10,0)</f>
        <v>0</v>
      </c>
      <c r="N10" s="122"/>
    </row>
    <row r="11" spans="2:16" ht="15" x14ac:dyDescent="0.35">
      <c r="B11" s="122"/>
      <c r="C11" s="180"/>
      <c r="D11" s="122"/>
      <c r="E11" s="178"/>
      <c r="F11" s="178"/>
      <c r="G11" s="176"/>
      <c r="H11" s="176"/>
      <c r="I11" s="176"/>
      <c r="K11" s="176"/>
      <c r="L11" s="177"/>
      <c r="M11" s="177"/>
      <c r="N11" s="122"/>
    </row>
    <row r="12" spans="2:16" ht="15.45" x14ac:dyDescent="0.4">
      <c r="B12" s="122" t="s">
        <v>206</v>
      </c>
      <c r="C12" s="122"/>
      <c r="D12" s="122"/>
      <c r="E12" s="206" t="s">
        <v>194</v>
      </c>
      <c r="F12" s="178"/>
      <c r="G12" s="207" t="s">
        <v>71</v>
      </c>
      <c r="H12" s="176"/>
      <c r="I12" s="181" t="s">
        <v>207</v>
      </c>
      <c r="J12" s="176"/>
      <c r="L12" s="182">
        <f>SUM(L8:L10)</f>
        <v>9</v>
      </c>
      <c r="M12" s="182">
        <f>SUM(M8:M10)</f>
        <v>5</v>
      </c>
      <c r="N12" s="122"/>
    </row>
    <row r="13" spans="2:16" ht="15.45" x14ac:dyDescent="0.4">
      <c r="B13" s="122" t="s">
        <v>208</v>
      </c>
      <c r="C13" s="122"/>
      <c r="D13" s="170" t="s">
        <v>209</v>
      </c>
      <c r="E13" s="185">
        <f>'1.Preconditioning Profitability'!C8</f>
        <v>550</v>
      </c>
      <c r="F13" s="208"/>
      <c r="G13" s="185">
        <f>'1.Preconditioning Profitability'!C24</f>
        <v>626.5</v>
      </c>
      <c r="I13" s="134">
        <f>G13-E13</f>
        <v>76.5</v>
      </c>
      <c r="J13" s="176"/>
      <c r="L13" s="182"/>
      <c r="M13" s="182"/>
      <c r="N13" s="122"/>
    </row>
    <row r="14" spans="2:16" ht="15.45" x14ac:dyDescent="0.4">
      <c r="B14" s="122" t="s">
        <v>210</v>
      </c>
      <c r="D14" s="170" t="s">
        <v>39</v>
      </c>
      <c r="E14" s="211">
        <f>'1.Preconditioning Profitability'!C9*0.01</f>
        <v>0.04</v>
      </c>
      <c r="F14" s="208"/>
      <c r="G14" s="211">
        <f>'1.Preconditioning Profitability'!C25</f>
        <v>0.02</v>
      </c>
      <c r="M14" s="166"/>
      <c r="N14" s="166"/>
    </row>
    <row r="15" spans="2:16" ht="15.45" x14ac:dyDescent="0.4">
      <c r="B15" s="1" t="s">
        <v>211</v>
      </c>
      <c r="C15" s="4"/>
      <c r="D15" s="166" t="s">
        <v>209</v>
      </c>
      <c r="E15" s="209">
        <f>'1.Preconditioning Profitability'!C10</f>
        <v>528</v>
      </c>
      <c r="F15" s="210"/>
      <c r="G15" s="209">
        <f>'1.Preconditioning Profitability'!C26</f>
        <v>613.97</v>
      </c>
      <c r="H15" s="1"/>
      <c r="I15" s="134">
        <f>G15-E15</f>
        <v>85.970000000000027</v>
      </c>
      <c r="J15" s="183"/>
      <c r="K15" s="150"/>
      <c r="L15" s="1"/>
    </row>
    <row r="16" spans="2:16" ht="15.45" x14ac:dyDescent="0.4">
      <c r="B16" s="122" t="s">
        <v>212</v>
      </c>
      <c r="D16" s="122"/>
      <c r="E16" s="122"/>
      <c r="G16" s="122"/>
      <c r="H16" s="1"/>
      <c r="I16" s="1"/>
      <c r="J16" s="1"/>
      <c r="K16" s="1"/>
    </row>
    <row r="17" spans="2:13" ht="22.75" x14ac:dyDescent="0.55000000000000004">
      <c r="B17" s="122" t="s">
        <v>213</v>
      </c>
      <c r="D17" s="170" t="s">
        <v>62</v>
      </c>
      <c r="E17" s="198">
        <f>'1.Preconditioning Profitability'!C11</f>
        <v>160</v>
      </c>
      <c r="F17" s="169"/>
      <c r="G17" s="184">
        <f>E17</f>
        <v>160</v>
      </c>
      <c r="H17" s="1"/>
      <c r="I17" t="s">
        <v>214</v>
      </c>
      <c r="L17" t="s">
        <v>71</v>
      </c>
    </row>
    <row r="18" spans="2:13" ht="15.45" x14ac:dyDescent="0.4">
      <c r="B18" s="122" t="s">
        <v>215</v>
      </c>
      <c r="D18" s="170" t="s">
        <v>209</v>
      </c>
      <c r="E18" s="204">
        <f>'1.Preconditioning Profitability'!C12</f>
        <v>550</v>
      </c>
      <c r="G18" s="185">
        <f>E18</f>
        <v>550</v>
      </c>
      <c r="H18" s="1"/>
      <c r="I18" s="186" t="s">
        <v>216</v>
      </c>
      <c r="L18" s="186" t="s">
        <v>216</v>
      </c>
    </row>
    <row r="19" spans="2:13" ht="15" x14ac:dyDescent="0.35">
      <c r="B19" s="122" t="s">
        <v>217</v>
      </c>
      <c r="D19" s="170" t="s">
        <v>209</v>
      </c>
      <c r="E19" s="203">
        <v>0</v>
      </c>
      <c r="G19" s="187">
        <f>E19</f>
        <v>0</v>
      </c>
      <c r="H19" s="188"/>
      <c r="I19" s="189">
        <f>IF(($E$15&gt;($E$18+$E$19)),(-$E$21*0.01*($E$15-$E$18)),0)</f>
        <v>0</v>
      </c>
      <c r="J19" t="s">
        <v>218</v>
      </c>
      <c r="L19" s="189">
        <f>IF(($G$15&gt;($G$18+$G$19)),(-$G$21*0.01*($G$15-$G$18)),0)</f>
        <v>-3.1985000000000015</v>
      </c>
      <c r="M19" t="s">
        <v>218</v>
      </c>
    </row>
    <row r="20" spans="2:13" ht="15" x14ac:dyDescent="0.35">
      <c r="B20" s="122" t="s">
        <v>219</v>
      </c>
      <c r="D20" s="170" t="s">
        <v>209</v>
      </c>
      <c r="E20" s="190">
        <v>0</v>
      </c>
      <c r="F20" s="191"/>
      <c r="G20" s="192">
        <f>E20</f>
        <v>0</v>
      </c>
      <c r="H20" s="188"/>
      <c r="I20" s="188">
        <f>IF(($E$15&lt;$E$18-$E$20),($E$23*0.01*($E$18-$E$15)),0)</f>
        <v>1.98</v>
      </c>
      <c r="J20" s="193" t="s">
        <v>220</v>
      </c>
      <c r="L20" s="188">
        <f>IF(($G$15&lt;$G$18-$G$20),($G$23*0.01*($G$18-$G$15)),0)</f>
        <v>0</v>
      </c>
      <c r="M20" s="193" t="s">
        <v>220</v>
      </c>
    </row>
    <row r="21" spans="2:13" ht="15.45" x14ac:dyDescent="0.4">
      <c r="B21" s="194" t="s">
        <v>221</v>
      </c>
      <c r="C21" s="195"/>
      <c r="D21" s="170" t="s">
        <v>62</v>
      </c>
      <c r="E21" s="196">
        <f>IF(E15&gt;=E18,L12,0)</f>
        <v>0</v>
      </c>
      <c r="F21" s="197"/>
      <c r="G21" s="198">
        <f>IF(G15&gt;=G18,M12,0)</f>
        <v>5</v>
      </c>
      <c r="H21" s="1"/>
      <c r="I21" s="188"/>
      <c r="J21" s="193"/>
    </row>
    <row r="22" spans="2:13" ht="15.45" x14ac:dyDescent="0.4">
      <c r="D22" s="170"/>
      <c r="E22" s="198"/>
      <c r="F22" s="197"/>
      <c r="G22" s="198"/>
      <c r="H22" s="1"/>
      <c r="I22" s="188"/>
      <c r="J22" s="193"/>
    </row>
    <row r="23" spans="2:13" ht="15.45" x14ac:dyDescent="0.4">
      <c r="B23" s="194" t="s">
        <v>222</v>
      </c>
      <c r="C23" s="195"/>
      <c r="D23" s="170" t="s">
        <v>62</v>
      </c>
      <c r="E23" s="198">
        <f>IF(E15&lt;=E18,L12,0)</f>
        <v>9</v>
      </c>
      <c r="F23" s="197"/>
      <c r="G23" s="198">
        <f>IF(G15&lt;=G18,M12,0)</f>
        <v>0</v>
      </c>
      <c r="H23" s="1"/>
      <c r="I23" s="189">
        <f>(I19+I20)</f>
        <v>1.98</v>
      </c>
      <c r="J23" t="s">
        <v>223</v>
      </c>
      <c r="L23" s="189">
        <f>(L19+L20)</f>
        <v>-3.1985000000000015</v>
      </c>
      <c r="M23" t="s">
        <v>223</v>
      </c>
    </row>
    <row r="24" spans="2:13" ht="15.45" x14ac:dyDescent="0.4">
      <c r="B24" s="122"/>
      <c r="D24" s="170"/>
      <c r="E24" s="198"/>
      <c r="F24" s="197"/>
      <c r="G24" s="198"/>
      <c r="H24" s="1"/>
      <c r="I24" s="189"/>
      <c r="L24" s="189"/>
    </row>
    <row r="25" spans="2:13" ht="15.45" x14ac:dyDescent="0.4">
      <c r="B25" s="1" t="s">
        <v>224</v>
      </c>
      <c r="D25" s="199" t="s">
        <v>62</v>
      </c>
      <c r="E25" s="200">
        <f>I23</f>
        <v>1.98</v>
      </c>
      <c r="F25" s="201"/>
      <c r="G25" s="200">
        <f>L23</f>
        <v>-3.1985000000000015</v>
      </c>
      <c r="H25" s="122"/>
    </row>
    <row r="26" spans="2:13" ht="15.45" x14ac:dyDescent="0.4">
      <c r="B26" s="1"/>
      <c r="D26" s="199"/>
      <c r="E26" s="202"/>
      <c r="F26" s="201"/>
      <c r="G26" s="200"/>
      <c r="H26" s="122"/>
      <c r="I26" s="201"/>
    </row>
  </sheetData>
  <sheetProtection sheet="1" objects="1" scenarios="1"/>
  <mergeCells count="2">
    <mergeCell ref="B2:G2"/>
    <mergeCell ref="C5:E5"/>
  </mergeCells>
  <pageMargins left="0.7" right="0.7" top="0.75" bottom="0.75" header="0.3" footer="0.3"/>
  <pageSetup scale="98" orientation="portrait"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36"/>
  <sheetViews>
    <sheetView topLeftCell="A28" workbookViewId="0">
      <selection activeCell="B35" sqref="B35"/>
    </sheetView>
  </sheetViews>
  <sheetFormatPr defaultRowHeight="12.45" x14ac:dyDescent="0.3"/>
  <cols>
    <col min="1" max="1" width="3.61328125" customWidth="1"/>
    <col min="2" max="2" width="15.3828125" customWidth="1"/>
    <col min="3" max="3" width="16.3828125" customWidth="1"/>
    <col min="4" max="4" width="14.53515625" customWidth="1"/>
    <col min="5" max="5" width="12.921875" customWidth="1"/>
    <col min="6" max="6" width="15.3046875" customWidth="1"/>
    <col min="8" max="8" width="11.07421875" customWidth="1"/>
  </cols>
  <sheetData>
    <row r="3" spans="8:8" ht="15" x14ac:dyDescent="0.35">
      <c r="H3" s="122"/>
    </row>
    <row r="32" spans="2:2" ht="15.45" x14ac:dyDescent="0.4">
      <c r="B32" s="1" t="s">
        <v>174</v>
      </c>
    </row>
    <row r="33" spans="2:7" ht="15" x14ac:dyDescent="0.35">
      <c r="B33" s="122"/>
    </row>
    <row r="34" spans="2:7" ht="30" customHeight="1" x14ac:dyDescent="0.35">
      <c r="B34" s="160" t="s">
        <v>179</v>
      </c>
      <c r="C34" s="159" t="s">
        <v>175</v>
      </c>
      <c r="D34" s="150" t="s">
        <v>176</v>
      </c>
      <c r="E34" s="150" t="s">
        <v>177</v>
      </c>
      <c r="F34" s="150" t="s">
        <v>178</v>
      </c>
      <c r="G34" s="2"/>
    </row>
    <row r="35" spans="2:7" x14ac:dyDescent="0.3">
      <c r="B35" s="79">
        <f>'1.Preconditioning Profitability'!C19</f>
        <v>815.0442240000001</v>
      </c>
      <c r="C35" s="154">
        <f>'1.Preconditioning Profitability'!F21</f>
        <v>59.25</v>
      </c>
      <c r="D35" s="154">
        <f>'1.Preconditioning Profitability'!F26</f>
        <v>33.75</v>
      </c>
      <c r="E35" s="154">
        <f>'1.Preconditioning Profitability'!F34</f>
        <v>4.7798001468493156</v>
      </c>
      <c r="F35" s="155">
        <f>'1.Preconditioning Profitability'!F39</f>
        <v>912.82402414684941</v>
      </c>
      <c r="G35" s="153"/>
    </row>
    <row r="36" spans="2:7" x14ac:dyDescent="0.3">
      <c r="B36" s="156">
        <f>B35/$F$35</f>
        <v>0.892882091662479</v>
      </c>
      <c r="C36" s="156">
        <f>C35/$F$35</f>
        <v>6.4908458183248072E-2</v>
      </c>
      <c r="D36" s="156">
        <f>D35/$F$35</f>
        <v>3.6973172382862823E-2</v>
      </c>
      <c r="E36" s="156">
        <f>E35/$F$35</f>
        <v>5.2362777714101564E-3</v>
      </c>
      <c r="F36" s="157">
        <f>SUM(B36:E36)</f>
        <v>1</v>
      </c>
      <c r="G36" s="158"/>
    </row>
  </sheetData>
  <sheetProtection sheet="1" objects="1" scenarios="1"/>
  <pageMargins left="0.95" right="0.45" top="0.75" bottom="0.75" header="0.3" footer="0.3"/>
  <pageSetup scale="97" orientation="portrait" r:id="rId1"/>
  <headerFooter>
    <oddFooter>&amp;L&amp;F&amp;R&amp;A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3"/>
  <sheetViews>
    <sheetView topLeftCell="A4" zoomScaleNormal="100" workbookViewId="0">
      <selection activeCell="D5" sqref="D5"/>
    </sheetView>
  </sheetViews>
  <sheetFormatPr defaultRowHeight="12.45" x14ac:dyDescent="0.3"/>
  <cols>
    <col min="1" max="1" width="4.3828125" customWidth="1"/>
    <col min="2" max="2" width="34" customWidth="1"/>
    <col min="3" max="3" width="13" customWidth="1"/>
    <col min="5" max="5" width="12.69140625" customWidth="1"/>
    <col min="6" max="6" width="11.4609375" customWidth="1"/>
    <col min="7" max="7" width="14.15234375" customWidth="1"/>
    <col min="8" max="8" width="10.07421875" customWidth="1"/>
    <col min="14" max="14" width="11.61328125" customWidth="1"/>
  </cols>
  <sheetData>
    <row r="2" spans="1:15" ht="15.45" x14ac:dyDescent="0.4">
      <c r="B2" s="1" t="s">
        <v>130</v>
      </c>
    </row>
    <row r="3" spans="1:15" ht="15.45" x14ac:dyDescent="0.4">
      <c r="B3" s="1"/>
    </row>
    <row r="4" spans="1:15" ht="17.600000000000001" x14ac:dyDescent="0.4">
      <c r="B4" s="128"/>
      <c r="C4" s="129" t="s">
        <v>131</v>
      </c>
      <c r="D4" s="129" t="s">
        <v>132</v>
      </c>
    </row>
    <row r="5" spans="1:15" ht="15.45" x14ac:dyDescent="0.4">
      <c r="B5" s="122" t="s">
        <v>133</v>
      </c>
      <c r="C5" s="140">
        <f>'1.Preconditioning Profitability'!C8</f>
        <v>550</v>
      </c>
      <c r="D5" s="140">
        <f>'1.Preconditioning Profitability'!C26</f>
        <v>613.97</v>
      </c>
      <c r="E5" s="122" t="s">
        <v>141</v>
      </c>
      <c r="F5" s="132">
        <f>D5-C5</f>
        <v>63.970000000000027</v>
      </c>
      <c r="G5" s="133" t="s">
        <v>143</v>
      </c>
      <c r="H5" s="130">
        <f>(C5+D5)*0.5</f>
        <v>581.98500000000001</v>
      </c>
      <c r="J5" s="2" t="s">
        <v>142</v>
      </c>
    </row>
    <row r="6" spans="1:15" ht="15" x14ac:dyDescent="0.35">
      <c r="B6" s="122" t="s">
        <v>134</v>
      </c>
      <c r="C6" s="141">
        <f>'1.Preconditioning Profitability'!F17</f>
        <v>45</v>
      </c>
      <c r="D6" s="122" t="s">
        <v>136</v>
      </c>
      <c r="E6" s="123">
        <f>IF(C6=0,0,F5/C6)</f>
        <v>1.4215555555555561</v>
      </c>
      <c r="F6" s="122" t="s">
        <v>137</v>
      </c>
      <c r="H6" s="134">
        <f>L18</f>
        <v>11.42</v>
      </c>
    </row>
    <row r="7" spans="1:15" ht="15.45" x14ac:dyDescent="0.4">
      <c r="B7" s="1"/>
      <c r="E7" s="122" t="s">
        <v>135</v>
      </c>
      <c r="F7" s="122"/>
      <c r="H7" s="131">
        <f>IF(H5=0,0,L18/H5)</f>
        <v>1.962249886165451E-2</v>
      </c>
    </row>
    <row r="8" spans="1:15" ht="15" x14ac:dyDescent="0.35">
      <c r="E8" s="122"/>
    </row>
    <row r="9" spans="1:15" ht="15.45" x14ac:dyDescent="0.4">
      <c r="A9" s="91"/>
      <c r="B9" s="92" t="s">
        <v>12</v>
      </c>
      <c r="C9" s="94" t="s">
        <v>106</v>
      </c>
      <c r="D9" s="96" t="s">
        <v>114</v>
      </c>
      <c r="E9" s="96" t="s">
        <v>107</v>
      </c>
      <c r="F9" s="97"/>
      <c r="G9" s="96" t="s">
        <v>107</v>
      </c>
      <c r="H9" s="96" t="s">
        <v>108</v>
      </c>
      <c r="I9" s="93"/>
      <c r="J9" s="91"/>
      <c r="K9" s="91"/>
      <c r="L9" s="98" t="s">
        <v>109</v>
      </c>
      <c r="M9" s="91" t="s">
        <v>107</v>
      </c>
      <c r="N9" s="91" t="s">
        <v>110</v>
      </c>
      <c r="O9" s="91" t="s">
        <v>111</v>
      </c>
    </row>
    <row r="10" spans="1:15" ht="15.45" x14ac:dyDescent="0.4">
      <c r="A10" s="91"/>
      <c r="B10" s="92" t="s">
        <v>112</v>
      </c>
      <c r="C10" s="99" t="s">
        <v>113</v>
      </c>
      <c r="D10" s="96" t="s">
        <v>128</v>
      </c>
      <c r="E10" s="96" t="s">
        <v>115</v>
      </c>
      <c r="F10" s="95" t="s">
        <v>116</v>
      </c>
      <c r="G10" s="95" t="s">
        <v>117</v>
      </c>
      <c r="H10" s="96" t="s">
        <v>118</v>
      </c>
      <c r="I10" s="93"/>
      <c r="J10" s="91" t="s">
        <v>119</v>
      </c>
      <c r="K10" s="98" t="s">
        <v>120</v>
      </c>
      <c r="L10" s="98" t="s">
        <v>121</v>
      </c>
      <c r="M10" s="98" t="s">
        <v>109</v>
      </c>
      <c r="N10" s="91" t="s">
        <v>145</v>
      </c>
      <c r="O10" s="91" t="s">
        <v>122</v>
      </c>
    </row>
    <row r="11" spans="1:15" ht="15" x14ac:dyDescent="0.35">
      <c r="A11" s="91"/>
      <c r="B11" s="110" t="s">
        <v>123</v>
      </c>
      <c r="C11" s="100">
        <v>4</v>
      </c>
      <c r="D11" s="100">
        <v>14</v>
      </c>
      <c r="E11" s="101">
        <f>C11*D11</f>
        <v>56</v>
      </c>
      <c r="F11" s="102">
        <v>0.12</v>
      </c>
      <c r="G11" s="103">
        <f>E11*F11</f>
        <v>6.72</v>
      </c>
      <c r="H11" s="104">
        <f>IF(G11=0," ",G11/$G$18)</f>
        <v>0.15512465373961221</v>
      </c>
      <c r="I11" s="91"/>
      <c r="J11" s="105">
        <v>90</v>
      </c>
      <c r="K11" s="106">
        <f t="shared" ref="K11:K16" si="0">IF(D11=0," ",E11/D11)</f>
        <v>4</v>
      </c>
      <c r="L11" s="106">
        <f t="shared" ref="L11:L16" si="1">IF(K11=" "," ",K11*J11*0.01)</f>
        <v>3.6</v>
      </c>
      <c r="M11" s="91">
        <f>IF(L11=" "," ",E11*J11*0.01)</f>
        <v>50.4</v>
      </c>
      <c r="N11" s="107">
        <f>O11*J11*0.01</f>
        <v>216</v>
      </c>
      <c r="O11" s="107">
        <f>F11*2000</f>
        <v>240</v>
      </c>
    </row>
    <row r="12" spans="1:15" ht="15" x14ac:dyDescent="0.35">
      <c r="A12" s="91"/>
      <c r="B12" s="110" t="s">
        <v>124</v>
      </c>
      <c r="C12" s="100">
        <v>5</v>
      </c>
      <c r="D12" s="100">
        <v>31</v>
      </c>
      <c r="E12" s="101">
        <f t="shared" ref="E12:E16" si="2">C12*D12</f>
        <v>155</v>
      </c>
      <c r="F12" s="102">
        <v>0.12</v>
      </c>
      <c r="G12" s="103">
        <f t="shared" ref="G12:G16" si="3">E12*F12</f>
        <v>18.599999999999998</v>
      </c>
      <c r="H12" s="104">
        <f t="shared" ref="H12:H16" si="4">IF(G12=0," ",G12/$G$18)</f>
        <v>0.4293628808864266</v>
      </c>
      <c r="I12" s="91"/>
      <c r="J12" s="105">
        <v>90</v>
      </c>
      <c r="K12" s="106">
        <f t="shared" si="0"/>
        <v>5</v>
      </c>
      <c r="L12" s="106">
        <f t="shared" si="1"/>
        <v>4.5</v>
      </c>
      <c r="M12" s="91">
        <f t="shared" ref="M12:M16" si="5">IF(L12=" "," ",E12*J12*0.01)</f>
        <v>139.5</v>
      </c>
      <c r="N12" s="107">
        <f t="shared" ref="N12:N16" si="6">O12*J12*0.01</f>
        <v>216</v>
      </c>
      <c r="O12" s="107">
        <f t="shared" ref="O12:O16" si="7">F12*2000</f>
        <v>240</v>
      </c>
    </row>
    <row r="13" spans="1:15" ht="15" x14ac:dyDescent="0.35">
      <c r="A13" s="91"/>
      <c r="B13" s="110" t="s">
        <v>125</v>
      </c>
      <c r="C13" s="100">
        <v>8</v>
      </c>
      <c r="D13" s="100">
        <v>45</v>
      </c>
      <c r="E13" s="101">
        <f t="shared" si="2"/>
        <v>360</v>
      </c>
      <c r="F13" s="102">
        <v>0.05</v>
      </c>
      <c r="G13" s="103">
        <f t="shared" si="3"/>
        <v>18</v>
      </c>
      <c r="H13" s="104">
        <f t="shared" si="4"/>
        <v>0.4155124653739613</v>
      </c>
      <c r="I13" s="91"/>
      <c r="J13" s="105">
        <v>90</v>
      </c>
      <c r="K13" s="106">
        <f t="shared" si="0"/>
        <v>8</v>
      </c>
      <c r="L13" s="106">
        <f t="shared" si="1"/>
        <v>7.2</v>
      </c>
      <c r="M13" s="91">
        <f t="shared" si="5"/>
        <v>324</v>
      </c>
      <c r="N13" s="107">
        <f t="shared" si="6"/>
        <v>90</v>
      </c>
      <c r="O13" s="107">
        <f t="shared" si="7"/>
        <v>100</v>
      </c>
    </row>
    <row r="14" spans="1:15" ht="15" x14ac:dyDescent="0.35">
      <c r="A14" s="91"/>
      <c r="B14" s="110"/>
      <c r="C14" s="100">
        <v>0</v>
      </c>
      <c r="D14" s="100">
        <v>0</v>
      </c>
      <c r="E14" s="101">
        <f t="shared" si="2"/>
        <v>0</v>
      </c>
      <c r="F14" s="102">
        <v>0</v>
      </c>
      <c r="G14" s="103">
        <f t="shared" si="3"/>
        <v>0</v>
      </c>
      <c r="H14" s="104" t="str">
        <f t="shared" si="4"/>
        <v xml:space="preserve"> </v>
      </c>
      <c r="I14" s="91"/>
      <c r="J14" s="105">
        <v>90</v>
      </c>
      <c r="K14" s="106" t="str">
        <f t="shared" si="0"/>
        <v xml:space="preserve"> </v>
      </c>
      <c r="L14" s="106" t="str">
        <f t="shared" si="1"/>
        <v xml:space="preserve"> </v>
      </c>
      <c r="M14" s="91" t="str">
        <f t="shared" si="5"/>
        <v xml:space="preserve"> </v>
      </c>
      <c r="N14" s="107">
        <f t="shared" si="6"/>
        <v>0</v>
      </c>
      <c r="O14" s="107">
        <f t="shared" si="7"/>
        <v>0</v>
      </c>
    </row>
    <row r="15" spans="1:15" ht="15" x14ac:dyDescent="0.35">
      <c r="A15" s="91"/>
      <c r="B15" s="110"/>
      <c r="C15" s="100">
        <v>0</v>
      </c>
      <c r="D15" s="100">
        <v>0</v>
      </c>
      <c r="E15" s="101">
        <f t="shared" si="2"/>
        <v>0</v>
      </c>
      <c r="F15" s="102">
        <v>0</v>
      </c>
      <c r="G15" s="103">
        <f t="shared" si="3"/>
        <v>0</v>
      </c>
      <c r="H15" s="104" t="str">
        <f t="shared" si="4"/>
        <v xml:space="preserve"> </v>
      </c>
      <c r="I15" s="91"/>
      <c r="J15" s="105"/>
      <c r="K15" s="106" t="str">
        <f t="shared" si="0"/>
        <v xml:space="preserve"> </v>
      </c>
      <c r="L15" s="106" t="str">
        <f t="shared" si="1"/>
        <v xml:space="preserve"> </v>
      </c>
      <c r="M15" s="91" t="str">
        <f t="shared" si="5"/>
        <v xml:space="preserve"> </v>
      </c>
      <c r="N15" s="107">
        <f t="shared" si="6"/>
        <v>0</v>
      </c>
      <c r="O15" s="107">
        <f t="shared" si="7"/>
        <v>0</v>
      </c>
    </row>
    <row r="16" spans="1:15" ht="15" x14ac:dyDescent="0.35">
      <c r="A16" s="91"/>
      <c r="B16" s="110"/>
      <c r="C16" s="100">
        <v>0</v>
      </c>
      <c r="D16" s="100">
        <v>0</v>
      </c>
      <c r="E16" s="101">
        <f t="shared" si="2"/>
        <v>0</v>
      </c>
      <c r="F16" s="102">
        <v>0</v>
      </c>
      <c r="G16" s="103">
        <f t="shared" si="3"/>
        <v>0</v>
      </c>
      <c r="H16" s="104" t="str">
        <f t="shared" si="4"/>
        <v xml:space="preserve"> </v>
      </c>
      <c r="I16" s="91"/>
      <c r="J16" s="108"/>
      <c r="K16" s="106" t="str">
        <f t="shared" si="0"/>
        <v xml:space="preserve"> </v>
      </c>
      <c r="L16" s="106" t="str">
        <f t="shared" si="1"/>
        <v xml:space="preserve"> </v>
      </c>
      <c r="M16" s="91" t="str">
        <f t="shared" si="5"/>
        <v xml:space="preserve"> </v>
      </c>
      <c r="N16" s="107">
        <f t="shared" si="6"/>
        <v>0</v>
      </c>
      <c r="O16" s="107">
        <f t="shared" si="7"/>
        <v>0</v>
      </c>
    </row>
    <row r="17" spans="1:15" ht="15.45" x14ac:dyDescent="0.4">
      <c r="A17" s="91"/>
      <c r="B17" s="110"/>
      <c r="C17" s="142" t="s">
        <v>144</v>
      </c>
      <c r="D17" s="100"/>
      <c r="E17" s="135" t="s">
        <v>129</v>
      </c>
      <c r="F17" s="111" t="s">
        <v>126</v>
      </c>
      <c r="G17" s="103"/>
      <c r="H17" s="104"/>
      <c r="I17" s="91"/>
      <c r="J17" s="112"/>
      <c r="K17" s="106"/>
      <c r="L17" s="143" t="s">
        <v>146</v>
      </c>
      <c r="M17" s="109"/>
      <c r="N17" s="107"/>
      <c r="O17" s="91"/>
    </row>
    <row r="18" spans="1:15" ht="15.45" x14ac:dyDescent="0.4">
      <c r="A18" s="91"/>
      <c r="B18" s="113" t="s">
        <v>139</v>
      </c>
      <c r="C18" s="126">
        <f>IF(C6=0,0,E18/C6)</f>
        <v>12.688888888888888</v>
      </c>
      <c r="D18" s="115"/>
      <c r="E18" s="125">
        <f>SUM(E11:E16)</f>
        <v>571</v>
      </c>
      <c r="F18" s="116">
        <f>G18/C6</f>
        <v>0.96266666666666656</v>
      </c>
      <c r="G18" s="116">
        <f>SUM(G11:G16)</f>
        <v>43.319999999999993</v>
      </c>
      <c r="H18" s="104"/>
      <c r="I18" s="91"/>
      <c r="J18" s="109"/>
      <c r="K18" s="114"/>
      <c r="L18" s="114">
        <f>M18/C6</f>
        <v>11.42</v>
      </c>
      <c r="M18" s="109">
        <f>SUM(M11:M16)</f>
        <v>513.9</v>
      </c>
      <c r="N18" s="91"/>
      <c r="O18" s="91"/>
    </row>
    <row r="19" spans="1:15" ht="15.45" x14ac:dyDescent="0.4">
      <c r="A19" s="118"/>
      <c r="B19" s="117"/>
      <c r="C19" s="136"/>
      <c r="D19" s="118"/>
      <c r="E19" s="135" t="s">
        <v>140</v>
      </c>
      <c r="F19" s="2" t="s">
        <v>148</v>
      </c>
      <c r="G19" s="119"/>
      <c r="H19" s="137"/>
      <c r="I19" s="91"/>
      <c r="J19" s="109"/>
      <c r="K19" s="114"/>
      <c r="L19" s="114"/>
      <c r="M19" s="109"/>
      <c r="N19" s="91"/>
      <c r="O19" s="91"/>
    </row>
    <row r="20" spans="1:15" ht="15.45" x14ac:dyDescent="0.4">
      <c r="A20" s="91"/>
      <c r="B20" s="117" t="s">
        <v>138</v>
      </c>
      <c r="C20" s="138">
        <f>L18</f>
        <v>11.42</v>
      </c>
      <c r="D20" s="4"/>
      <c r="E20" s="139">
        <f>L18*C6</f>
        <v>513.9</v>
      </c>
      <c r="F20" s="144">
        <f>IF(F5=0,0,E20/F5)</f>
        <v>8.0334531811786736</v>
      </c>
      <c r="G20" s="135" t="s">
        <v>147</v>
      </c>
      <c r="H20" s="120"/>
      <c r="I20" s="118"/>
      <c r="J20" s="109"/>
      <c r="K20" s="109"/>
      <c r="M20" s="109"/>
      <c r="N20" s="91"/>
      <c r="O20" s="91"/>
    </row>
    <row r="21" spans="1:15" ht="15.45" x14ac:dyDescent="0.4">
      <c r="A21" s="91"/>
      <c r="B21" s="92"/>
      <c r="C21" s="92"/>
      <c r="D21" s="91"/>
      <c r="E21" s="91"/>
      <c r="F21" s="121"/>
      <c r="G21" s="127"/>
      <c r="I21" s="91"/>
      <c r="M21" s="91"/>
      <c r="N21" s="91"/>
      <c r="O21" s="91"/>
    </row>
    <row r="22" spans="1:15" ht="15" x14ac:dyDescent="0.35">
      <c r="A22" s="91"/>
      <c r="B22" s="124"/>
      <c r="C22" s="91"/>
      <c r="E22" s="91"/>
      <c r="G22" s="103"/>
      <c r="I22" s="91"/>
      <c r="M22" s="91"/>
      <c r="N22" s="91"/>
      <c r="O22" s="91"/>
    </row>
    <row r="23" spans="1:15" x14ac:dyDescent="0.3">
      <c r="E23" s="2"/>
    </row>
  </sheetData>
  <sheetProtection sheet="1" objects="1" scenarios="1"/>
  <pageMargins left="0.95" right="0.45" top="0.75" bottom="0.75" header="0.3" footer="0.3"/>
  <pageSetup scale="88" orientation="portrait"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7"/>
  <sheetViews>
    <sheetView topLeftCell="A22" zoomScaleNormal="100" workbookViewId="0">
      <selection activeCell="C3" sqref="C3"/>
    </sheetView>
  </sheetViews>
  <sheetFormatPr defaultRowHeight="12.45" x14ac:dyDescent="0.3"/>
  <cols>
    <col min="1" max="1" width="3.69140625" customWidth="1"/>
    <col min="2" max="2" width="92.15234375" customWidth="1"/>
  </cols>
  <sheetData>
    <row r="1" spans="2:2" ht="14.15" x14ac:dyDescent="0.35">
      <c r="B1" s="146" t="s">
        <v>152</v>
      </c>
    </row>
    <row r="2" spans="2:2" ht="14.15" x14ac:dyDescent="0.35">
      <c r="B2" s="146"/>
    </row>
    <row r="3" spans="2:2" ht="115" customHeight="1" x14ac:dyDescent="0.3">
      <c r="B3" s="147" t="s">
        <v>190</v>
      </c>
    </row>
    <row r="4" spans="2:2" ht="127.3" x14ac:dyDescent="0.3">
      <c r="B4" s="148" t="s">
        <v>16</v>
      </c>
    </row>
    <row r="5" spans="2:2" ht="35.049999999999997" customHeight="1" x14ac:dyDescent="0.3">
      <c r="B5" s="148" t="s">
        <v>153</v>
      </c>
    </row>
    <row r="6" spans="2:2" ht="141.44999999999999" x14ac:dyDescent="0.3">
      <c r="B6" s="149" t="s">
        <v>17</v>
      </c>
    </row>
    <row r="7" spans="2:2" ht="14.15" x14ac:dyDescent="0.35">
      <c r="B7" s="150"/>
    </row>
    <row r="8" spans="2:2" ht="100" customHeight="1" x14ac:dyDescent="0.3">
      <c r="B8" s="149" t="s">
        <v>180</v>
      </c>
    </row>
    <row r="9" spans="2:2" ht="15.55" customHeight="1" x14ac:dyDescent="0.3">
      <c r="B9" s="149"/>
    </row>
    <row r="10" spans="2:2" ht="42.45" x14ac:dyDescent="0.3">
      <c r="B10" s="151" t="s">
        <v>18</v>
      </c>
    </row>
    <row r="11" spans="2:2" ht="15.55" customHeight="1" x14ac:dyDescent="0.3">
      <c r="B11" s="151"/>
    </row>
    <row r="12" spans="2:2" ht="56.6" x14ac:dyDescent="0.3">
      <c r="B12" s="149" t="s">
        <v>154</v>
      </c>
    </row>
    <row r="13" spans="2:2" ht="15.55" customHeight="1" x14ac:dyDescent="0.3"/>
    <row r="14" spans="2:2" ht="60" customHeight="1" x14ac:dyDescent="0.3">
      <c r="B14" s="148" t="s">
        <v>155</v>
      </c>
    </row>
    <row r="15" spans="2:2" ht="14.15" x14ac:dyDescent="0.3">
      <c r="B15" s="152"/>
    </row>
    <row r="16" spans="2:2" ht="28.3" x14ac:dyDescent="0.3">
      <c r="B16" s="148" t="s">
        <v>156</v>
      </c>
    </row>
    <row r="17" spans="2:2" ht="14.15" x14ac:dyDescent="0.3">
      <c r="B17" s="148"/>
    </row>
    <row r="18" spans="2:2" ht="56.6" x14ac:dyDescent="0.3">
      <c r="B18" s="148" t="s">
        <v>157</v>
      </c>
    </row>
    <row r="19" spans="2:2" ht="14.15" x14ac:dyDescent="0.3">
      <c r="B19" s="152"/>
    </row>
    <row r="20" spans="2:2" ht="42.45" x14ac:dyDescent="0.3">
      <c r="B20" s="148" t="s">
        <v>188</v>
      </c>
    </row>
    <row r="21" spans="2:2" ht="14.15" x14ac:dyDescent="0.3">
      <c r="B21" s="148"/>
    </row>
    <row r="22" spans="2:2" ht="28.3" x14ac:dyDescent="0.3">
      <c r="B22" s="148" t="s">
        <v>158</v>
      </c>
    </row>
    <row r="23" spans="2:2" ht="14.15" x14ac:dyDescent="0.3">
      <c r="B23" s="152"/>
    </row>
    <row r="24" spans="2:2" ht="56.6" x14ac:dyDescent="0.3">
      <c r="B24" s="148" t="s">
        <v>181</v>
      </c>
    </row>
    <row r="25" spans="2:2" ht="14.15" x14ac:dyDescent="0.3">
      <c r="B25" s="148"/>
    </row>
    <row r="26" spans="2:2" ht="70.75" x14ac:dyDescent="0.3">
      <c r="B26" s="148" t="s">
        <v>159</v>
      </c>
    </row>
    <row r="27" spans="2:2" ht="14.15" x14ac:dyDescent="0.3">
      <c r="B27" s="152"/>
    </row>
    <row r="28" spans="2:2" ht="28.3" x14ac:dyDescent="0.3">
      <c r="B28" s="148" t="s">
        <v>160</v>
      </c>
    </row>
    <row r="29" spans="2:2" ht="14.15" x14ac:dyDescent="0.3">
      <c r="B29" s="152"/>
    </row>
    <row r="30" spans="2:2" ht="28.3" x14ac:dyDescent="0.3">
      <c r="B30" s="148" t="s">
        <v>161</v>
      </c>
    </row>
    <row r="31" spans="2:2" ht="14.15" x14ac:dyDescent="0.3">
      <c r="B31" s="152"/>
    </row>
    <row r="32" spans="2:2" ht="14.15" x14ac:dyDescent="0.3">
      <c r="B32" s="148" t="s">
        <v>162</v>
      </c>
    </row>
    <row r="33" spans="2:2" ht="14.15" x14ac:dyDescent="0.3">
      <c r="B33" s="152"/>
    </row>
    <row r="34" spans="2:2" ht="28.3" x14ac:dyDescent="0.3">
      <c r="B34" s="148" t="s">
        <v>163</v>
      </c>
    </row>
    <row r="35" spans="2:2" ht="14.15" x14ac:dyDescent="0.3">
      <c r="B35" s="148"/>
    </row>
    <row r="36" spans="2:2" ht="14.15" x14ac:dyDescent="0.3">
      <c r="B36" s="148" t="s">
        <v>164</v>
      </c>
    </row>
    <row r="37" spans="2:2" ht="28.3" x14ac:dyDescent="0.3">
      <c r="B37" s="152" t="s">
        <v>183</v>
      </c>
    </row>
    <row r="38" spans="2:2" ht="14.15" x14ac:dyDescent="0.3">
      <c r="B38" s="152"/>
    </row>
    <row r="39" spans="2:2" ht="28.3" x14ac:dyDescent="0.3">
      <c r="B39" s="148" t="s">
        <v>165</v>
      </c>
    </row>
    <row r="40" spans="2:2" ht="14.15" x14ac:dyDescent="0.3">
      <c r="B40" s="148"/>
    </row>
    <row r="41" spans="2:2" ht="56.6" x14ac:dyDescent="0.3">
      <c r="B41" s="148" t="s">
        <v>166</v>
      </c>
    </row>
    <row r="42" spans="2:2" ht="14.15" x14ac:dyDescent="0.3">
      <c r="B42" s="148"/>
    </row>
    <row r="43" spans="2:2" ht="42.45" x14ac:dyDescent="0.3">
      <c r="B43" s="148" t="s">
        <v>167</v>
      </c>
    </row>
    <row r="44" spans="2:2" ht="14.15" x14ac:dyDescent="0.3">
      <c r="B44" s="152"/>
    </row>
    <row r="45" spans="2:2" ht="70.75" x14ac:dyDescent="0.3">
      <c r="B45" s="148" t="s">
        <v>168</v>
      </c>
    </row>
    <row r="46" spans="2:2" ht="14.15" x14ac:dyDescent="0.3">
      <c r="B46" s="152"/>
    </row>
    <row r="47" spans="2:2" ht="56.6" x14ac:dyDescent="0.3">
      <c r="B47" s="148" t="s">
        <v>169</v>
      </c>
    </row>
    <row r="48" spans="2:2" ht="14.15" x14ac:dyDescent="0.3">
      <c r="B48" s="152"/>
    </row>
    <row r="49" spans="2:2" ht="42.45" x14ac:dyDescent="0.3">
      <c r="B49" s="148" t="s">
        <v>170</v>
      </c>
    </row>
    <row r="50" spans="2:2" ht="14.15" x14ac:dyDescent="0.3">
      <c r="B50" s="152"/>
    </row>
    <row r="51" spans="2:2" ht="56.6" x14ac:dyDescent="0.3">
      <c r="B51" s="148" t="s">
        <v>171</v>
      </c>
    </row>
    <row r="52" spans="2:2" ht="14.15" x14ac:dyDescent="0.3">
      <c r="B52" s="152"/>
    </row>
    <row r="53" spans="2:2" ht="42.45" x14ac:dyDescent="0.3">
      <c r="B53" s="148" t="s">
        <v>172</v>
      </c>
    </row>
    <row r="54" spans="2:2" ht="14.15" x14ac:dyDescent="0.3">
      <c r="B54" s="148"/>
    </row>
    <row r="55" spans="2:2" ht="56.6" x14ac:dyDescent="0.3">
      <c r="B55" s="148" t="s">
        <v>173</v>
      </c>
    </row>
    <row r="57" spans="2:2" ht="27" customHeight="1" x14ac:dyDescent="0.35">
      <c r="B57" s="161" t="s">
        <v>184</v>
      </c>
    </row>
  </sheetData>
  <sheetProtection sheet="1" objects="1" scenarios="1"/>
  <pageMargins left="0.7" right="0.7" top="0.75" bottom="0.75" header="0.3" footer="0.3"/>
  <pageSetup scale="66" orientation="portrait" r:id="rId1"/>
  <headerFooter>
    <oddFooter>&amp;L&amp;"Times New Roman,Regular"&amp;12&amp;K00C000&amp;F&amp;R&amp;A
Page &amp;P of &amp;N</oddFooter>
    <evenFooter>&amp;L&amp;"Times New Roman,Regular"&amp;12&amp;K00C000Public</evenFooter>
    <firstFooter>&amp;L&amp;"Times New Roman,Regular"&amp;12&amp;K00C000Public</firstFooter>
  </headerFooter>
  <rowBreaks count="1" manualBreakCount="1">
    <brk id="20" min="1" max="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10f9ac0-5937-4b4f-b459-96aedd9ed2c5">
  <element uid="id_classification_eurestricted" value=""/>
  <element uid="cefbaa69-3bfa-4b56-8d22-6839cb7b06d0" value=""/>
</sisl>
</file>

<file path=customXml/itemProps1.xml><?xml version="1.0" encoding="utf-8"?>
<ds:datastoreItem xmlns:ds="http://schemas.openxmlformats.org/officeDocument/2006/customXml" ds:itemID="{E1A9CB37-773B-426B-BE74-3289518414E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1.Preconditioning Profitability</vt:lpstr>
      <vt:lpstr>2. Weigh-Price Slide Calculator</vt:lpstr>
      <vt:lpstr>3. Graph</vt:lpstr>
      <vt:lpstr>4. FeedCostCalculator</vt:lpstr>
      <vt:lpstr>5. Definitions</vt:lpstr>
      <vt:lpstr>'1.Preconditioning Profitability'!Print_Area</vt:lpstr>
      <vt:lpstr>'2. Weigh-Price Slide Calculator'!Print_Area</vt:lpstr>
      <vt:lpstr>'3. Graph'!Print_Area</vt:lpstr>
      <vt:lpstr>'4. FeedCostCalculator'!Print_Area</vt:lpstr>
      <vt:lpstr>'5. Definitions'!Print_Area</vt:lpstr>
    </vt:vector>
  </TitlesOfParts>
  <Company>Merck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Hill, DVM</dc:creator>
  <cp:lastModifiedBy>James McGrann</cp:lastModifiedBy>
  <cp:lastPrinted>2016-02-11T14:57:43Z</cp:lastPrinted>
  <dcterms:created xsi:type="dcterms:W3CDTF">2015-07-22T14:52:34Z</dcterms:created>
  <dcterms:modified xsi:type="dcterms:W3CDTF">2016-08-06T10:32:31Z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-1851088817</vt:i4>
  </property>
  <property fmtid="{D5CDD505-2E9C-101B-9397-08002B2CF9AE}" pid="3" name="_NewReviewCycle">
    <vt:lpwstr/>
  </property>
  <property fmtid="{D5CDD505-2E9C-101B-9397-08002B2CF9AE}" pid="4" name="_EmailSubject">
    <vt:lpwstr>Revised Preconditioning</vt:lpwstr>
  </property>
  <property fmtid="{D5CDD505-2E9C-101B-9397-08002B2CF9AE}" pid="5" name="_AuthorEmail">
    <vt:lpwstr>kevin.hill@merck.com</vt:lpwstr>
  </property>
  <property fmtid="{D5CDD505-2E9C-101B-9397-08002B2CF9AE}" pid="6" name="_AuthorEmailDisplayName">
    <vt:lpwstr>Hill, Kevin</vt:lpwstr>
  </property>
  <property fmtid="{D5CDD505-2E9C-101B-9397-08002B2CF9AE}" pid="7" name="docIndexRef">
    <vt:lpwstr>5e3f2168-06b1-48e6-9a73-0998c83a3d11</vt:lpwstr>
  </property>
  <property fmtid="{D5CDD505-2E9C-101B-9397-08002B2CF9AE}" pid="8" name="bjSaver">
    <vt:lpwstr>AQ2H+ZRN1BPoopx75V7xCivkQDJl3DnR</vt:lpwstr>
  </property>
  <property fmtid="{D5CDD505-2E9C-101B-9397-08002B2CF9AE}" pid="9" name="bjDocumentLabelXML">
    <vt:lpwstr>&lt;?xml version="1.0" encoding="us-ascii"?&gt;&lt;sisl xmlns:xsi="http://www.w3.org/2001/XMLSchema-instance" xmlns:xsd="http://www.w3.org/2001/XMLSchema" sislVersion="0" policy="a10f9ac0-5937-4b4f-b459-96aedd9ed2c5" xmlns="http://www.boldonjames.com/2008/01/sie/i</vt:lpwstr>
  </property>
  <property fmtid="{D5CDD505-2E9C-101B-9397-08002B2CF9AE}" pid="10" name="bjDocumentLabelXML-0">
    <vt:lpwstr>nternal/label"&gt;&lt;element uid="id_classification_eurestricted" value="" /&gt;&lt;element uid="cefbaa69-3bfa-4b56-8d22-6839cb7b06d0" value="" /&gt;&lt;/sisl&gt;</vt:lpwstr>
  </property>
  <property fmtid="{D5CDD505-2E9C-101B-9397-08002B2CF9AE}" pid="11" name="bjDocumentSecurityLabel">
    <vt:lpwstr>Public</vt:lpwstr>
  </property>
  <property fmtid="{D5CDD505-2E9C-101B-9397-08002B2CF9AE}" pid="12" name="MerckMetadataExchange">
    <vt:lpwstr>!$MRK@Public-Footer-Left</vt:lpwstr>
  </property>
  <property fmtid="{D5CDD505-2E9C-101B-9397-08002B2CF9AE}" pid="13" name="bjLeftFooterLabel">
    <vt:lpwstr>&amp;"Times New Roman,Regular"&amp;12&amp;K00C000Public</vt:lpwstr>
  </property>
  <property fmtid="{D5CDD505-2E9C-101B-9397-08002B2CF9AE}" pid="14" name="_PreviousAdHocReviewCycleID">
    <vt:i4>-927099198</vt:i4>
  </property>
  <property fmtid="{D5CDD505-2E9C-101B-9397-08002B2CF9AE}" pid="15" name="_ReviewingToolsShownOnce">
    <vt:lpwstr/>
  </property>
</Properties>
</file>